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ur\Downloads\"/>
    </mc:Choice>
  </mc:AlternateContent>
  <xr:revisionPtr revIDLastSave="0" documentId="13_ncr:1_{3EB13B7F-DF5D-4C14-BD81-6F617E58CBD9}" xr6:coauthVersionLast="45" xr6:coauthVersionMax="45" xr10:uidLastSave="{00000000-0000-0000-0000-000000000000}"/>
  <bookViews>
    <workbookView xWindow="-120" yWindow="-120" windowWidth="24240" windowHeight="13140" tabRatio="798" activeTab="1" xr2:uid="{00000000-000D-0000-FFFF-FFFF00000000}"/>
  </bookViews>
  <sheets>
    <sheet name="Input Property 1" sheetId="23" r:id="rId1"/>
    <sheet name="Data Property 1" sheetId="20" r:id="rId2"/>
    <sheet name="Input Property 2" sheetId="27" r:id="rId3"/>
    <sheet name="Data Property 2" sheetId="28" r:id="rId4"/>
    <sheet name="Input Property 3" sheetId="29" r:id="rId5"/>
    <sheet name="Data Property 3" sheetId="30" r:id="rId6"/>
    <sheet name="Input Property 4" sheetId="31" r:id="rId7"/>
    <sheet name="Data Property 4" sheetId="32" r:id="rId8"/>
    <sheet name="Input Property 5" sheetId="33" r:id="rId9"/>
    <sheet name="Data Property 5" sheetId="34" r:id="rId10"/>
    <sheet name="Portfolio" sheetId="35" r:id="rId11"/>
    <sheet name="Tax Table" sheetId="26" r:id="rId12"/>
    <sheet name="Duties" sheetId="25" r:id="rId13"/>
  </sheets>
  <definedNames>
    <definedName name="AMC">[0]!AMC</definedName>
    <definedName name="ANZ">[0]!ANZ</definedName>
    <definedName name="automatic_update">[0]!automatic_update</definedName>
    <definedName name="BHP">[0]!BHP</definedName>
    <definedName name="CBA">[0]!CBA</definedName>
    <definedName name="Content" localSheetId="11">'Tax Table'!$A$5</definedName>
    <definedName name="GOLD">[0]!GOLD</definedName>
    <definedName name="LIHIR">[0]!LIHIR</definedName>
    <definedName name="OILSCH">[0]!OILSCH</definedName>
    <definedName name="ORDS">[0]!ORDS</definedName>
    <definedName name="PACK">[0]!PACK</definedName>
    <definedName name="QAN">[0]!QAN</definedName>
    <definedName name="top" localSheetId="11">'Tax Table'!$A$5</definedName>
    <definedName name="update_close_price">[0]!update_close_price</definedName>
    <definedName name="view_high_low_bar">[0]!view_high_low_bar</definedName>
    <definedName name="view_line_chart">[0]!view_line_chart</definedName>
    <definedName name="WMC">[0]!WMC</definedName>
    <definedName name="WOW">[0]!WOW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23" l="1"/>
  <c r="B46" i="23"/>
  <c r="C232" i="34" l="1"/>
  <c r="B205" i="34"/>
  <c r="B214" i="34" s="1"/>
  <c r="B198" i="34"/>
  <c r="B199" i="34" s="1"/>
  <c r="Q185" i="34"/>
  <c r="Q22" i="34" s="1"/>
  <c r="P185" i="34"/>
  <c r="O185" i="34"/>
  <c r="N185" i="34"/>
  <c r="N22" i="34" s="1"/>
  <c r="M185" i="34"/>
  <c r="L185" i="34"/>
  <c r="L22" i="34" s="1"/>
  <c r="K185" i="34"/>
  <c r="K22" i="34" s="1"/>
  <c r="J185" i="34"/>
  <c r="J22" i="34" s="1"/>
  <c r="I185" i="34"/>
  <c r="I22" i="34" s="1"/>
  <c r="H185" i="34"/>
  <c r="H22" i="34" s="1"/>
  <c r="G185" i="34"/>
  <c r="G22" i="34" s="1"/>
  <c r="F185" i="34"/>
  <c r="F22" i="34" s="1"/>
  <c r="E185" i="34"/>
  <c r="E22" i="34" s="1"/>
  <c r="D185" i="34"/>
  <c r="D22" i="34" s="1"/>
  <c r="C185" i="34"/>
  <c r="C22" i="34" s="1"/>
  <c r="A185" i="34"/>
  <c r="A22" i="34" s="1"/>
  <c r="A184" i="34"/>
  <c r="A21" i="34" s="1"/>
  <c r="A183" i="34"/>
  <c r="A20" i="34" s="1"/>
  <c r="A182" i="34"/>
  <c r="A181" i="34"/>
  <c r="A18" i="34" s="1"/>
  <c r="A180" i="34"/>
  <c r="A17" i="34" s="1"/>
  <c r="A179" i="34"/>
  <c r="A16" i="34" s="1"/>
  <c r="A178" i="34"/>
  <c r="A15" i="34" s="1"/>
  <c r="A177" i="34"/>
  <c r="A14" i="34" s="1"/>
  <c r="A176" i="34"/>
  <c r="A13" i="34" s="1"/>
  <c r="A175" i="34"/>
  <c r="A12" i="34" s="1"/>
  <c r="A174" i="34"/>
  <c r="A11" i="34" s="1"/>
  <c r="A173" i="34"/>
  <c r="A10" i="34" s="1"/>
  <c r="A172" i="34"/>
  <c r="A171" i="34"/>
  <c r="A8" i="34" s="1"/>
  <c r="A169" i="34"/>
  <c r="B163" i="34"/>
  <c r="C163" i="34" s="1"/>
  <c r="C34" i="34" s="1"/>
  <c r="A119" i="34"/>
  <c r="A116" i="34"/>
  <c r="A115" i="34"/>
  <c r="A113" i="34"/>
  <c r="A112" i="34"/>
  <c r="Q104" i="34"/>
  <c r="P104" i="34"/>
  <c r="O104" i="34"/>
  <c r="N104" i="34"/>
  <c r="M104" i="34"/>
  <c r="L104" i="34"/>
  <c r="K104" i="34"/>
  <c r="J104" i="34"/>
  <c r="I104" i="34"/>
  <c r="H104" i="34"/>
  <c r="G104" i="34"/>
  <c r="F104" i="34"/>
  <c r="E104" i="34"/>
  <c r="D104" i="34"/>
  <c r="C104" i="34"/>
  <c r="A67" i="34"/>
  <c r="A36" i="34"/>
  <c r="Q35" i="34"/>
  <c r="P35" i="34"/>
  <c r="O35" i="34"/>
  <c r="N35" i="34"/>
  <c r="M35" i="34"/>
  <c r="L35" i="34"/>
  <c r="K35" i="34"/>
  <c r="J35" i="34"/>
  <c r="I35" i="34"/>
  <c r="H35" i="34"/>
  <c r="G35" i="34"/>
  <c r="F35" i="34"/>
  <c r="E35" i="34"/>
  <c r="D35" i="34"/>
  <c r="C35" i="34"/>
  <c r="A35" i="34"/>
  <c r="A34" i="34"/>
  <c r="A31" i="34"/>
  <c r="A30" i="34"/>
  <c r="A29" i="34"/>
  <c r="Q28" i="34"/>
  <c r="P28" i="34"/>
  <c r="O28" i="34"/>
  <c r="N28" i="34"/>
  <c r="M28" i="34"/>
  <c r="L28" i="34"/>
  <c r="K28" i="34"/>
  <c r="J28" i="34"/>
  <c r="I28" i="34"/>
  <c r="H28" i="34"/>
  <c r="A25" i="34"/>
  <c r="A23" i="34"/>
  <c r="P22" i="34"/>
  <c r="O22" i="34"/>
  <c r="M22" i="34"/>
  <c r="A19" i="34"/>
  <c r="A9" i="34"/>
  <c r="A7" i="34"/>
  <c r="A6" i="34"/>
  <c r="A5" i="34"/>
  <c r="A4" i="34"/>
  <c r="B67" i="33"/>
  <c r="B66" i="33"/>
  <c r="P56" i="33"/>
  <c r="O56" i="33"/>
  <c r="N56" i="33"/>
  <c r="M56" i="33"/>
  <c r="L56" i="33"/>
  <c r="K56" i="33"/>
  <c r="J56" i="33"/>
  <c r="I56" i="33"/>
  <c r="H56" i="33"/>
  <c r="G56" i="33"/>
  <c r="F56" i="33"/>
  <c r="E56" i="33"/>
  <c r="D56" i="33"/>
  <c r="C56" i="33"/>
  <c r="B56" i="33"/>
  <c r="C55" i="33"/>
  <c r="B55" i="33"/>
  <c r="N55" i="33" s="1"/>
  <c r="P54" i="33"/>
  <c r="O54" i="33"/>
  <c r="N54" i="33"/>
  <c r="M54" i="33"/>
  <c r="L54" i="33"/>
  <c r="K54" i="33"/>
  <c r="J54" i="33"/>
  <c r="I54" i="33"/>
  <c r="H54" i="33"/>
  <c r="G54" i="33"/>
  <c r="F54" i="33"/>
  <c r="E54" i="33"/>
  <c r="D54" i="33"/>
  <c r="C54" i="33"/>
  <c r="B54" i="33"/>
  <c r="P53" i="33"/>
  <c r="O53" i="33"/>
  <c r="N53" i="33"/>
  <c r="M53" i="33"/>
  <c r="L53" i="33"/>
  <c r="K53" i="33"/>
  <c r="J53" i="33"/>
  <c r="I53" i="33"/>
  <c r="H53" i="33"/>
  <c r="G53" i="33"/>
  <c r="F53" i="33"/>
  <c r="E53" i="33"/>
  <c r="D53" i="33"/>
  <c r="C53" i="33"/>
  <c r="B53" i="33"/>
  <c r="V52" i="33"/>
  <c r="U52" i="33"/>
  <c r="T52" i="33"/>
  <c r="S52" i="33"/>
  <c r="R52" i="33"/>
  <c r="Q52" i="33"/>
  <c r="P52" i="33"/>
  <c r="O52" i="33"/>
  <c r="N52" i="33"/>
  <c r="M52" i="33"/>
  <c r="L52" i="33"/>
  <c r="K52" i="33"/>
  <c r="J52" i="33"/>
  <c r="I52" i="33"/>
  <c r="H52" i="33"/>
  <c r="G52" i="33"/>
  <c r="F52" i="33"/>
  <c r="E52" i="33"/>
  <c r="D52" i="33"/>
  <c r="C52" i="33"/>
  <c r="B52" i="33"/>
  <c r="P50" i="33"/>
  <c r="O50" i="33"/>
  <c r="N50" i="33"/>
  <c r="M50" i="33"/>
  <c r="L50" i="33"/>
  <c r="K50" i="33"/>
  <c r="J50" i="33"/>
  <c r="I50" i="33"/>
  <c r="H50" i="33"/>
  <c r="G50" i="33"/>
  <c r="F50" i="33"/>
  <c r="E50" i="33"/>
  <c r="D50" i="33"/>
  <c r="C50" i="33"/>
  <c r="B50" i="33"/>
  <c r="B36" i="33"/>
  <c r="N51" i="33" s="1"/>
  <c r="B33" i="33"/>
  <c r="K31" i="33"/>
  <c r="B184" i="34" s="1"/>
  <c r="B31" i="33"/>
  <c r="I49" i="33" s="1"/>
  <c r="K30" i="33"/>
  <c r="B183" i="34" s="1"/>
  <c r="B30" i="33"/>
  <c r="B48" i="33" s="1"/>
  <c r="K29" i="33"/>
  <c r="B182" i="34" s="1"/>
  <c r="B29" i="33"/>
  <c r="B46" i="33" s="1"/>
  <c r="K28" i="33"/>
  <c r="B181" i="34" s="1"/>
  <c r="K27" i="33"/>
  <c r="B180" i="34" s="1"/>
  <c r="B27" i="33"/>
  <c r="K26" i="33"/>
  <c r="B179" i="34" s="1"/>
  <c r="K25" i="33"/>
  <c r="B178" i="34" s="1"/>
  <c r="K24" i="33"/>
  <c r="B177" i="34" s="1"/>
  <c r="K23" i="33"/>
  <c r="B176" i="34" s="1"/>
  <c r="K22" i="33"/>
  <c r="B175" i="34" s="1"/>
  <c r="K21" i="33"/>
  <c r="B174" i="34" s="1"/>
  <c r="B21" i="33"/>
  <c r="K20" i="33"/>
  <c r="B173" i="34" s="1"/>
  <c r="K19" i="33"/>
  <c r="B172" i="34" s="1"/>
  <c r="K18" i="33"/>
  <c r="B171" i="34" s="1"/>
  <c r="K17" i="33"/>
  <c r="O58" i="33" s="1"/>
  <c r="B8" i="33"/>
  <c r="C8" i="33" s="1"/>
  <c r="K7" i="33"/>
  <c r="K5" i="33"/>
  <c r="C232" i="32"/>
  <c r="B205" i="32"/>
  <c r="B214" i="32" s="1"/>
  <c r="B198" i="32"/>
  <c r="B199" i="32" s="1"/>
  <c r="Q185" i="32"/>
  <c r="Q22" i="32" s="1"/>
  <c r="P185" i="32"/>
  <c r="P22" i="32" s="1"/>
  <c r="O185" i="32"/>
  <c r="O22" i="32" s="1"/>
  <c r="N185" i="32"/>
  <c r="M185" i="32"/>
  <c r="M22" i="32" s="1"/>
  <c r="L185" i="32"/>
  <c r="L22" i="32" s="1"/>
  <c r="K185" i="32"/>
  <c r="K22" i="32" s="1"/>
  <c r="J185" i="32"/>
  <c r="J22" i="32" s="1"/>
  <c r="I185" i="32"/>
  <c r="I22" i="32" s="1"/>
  <c r="H185" i="32"/>
  <c r="H22" i="32" s="1"/>
  <c r="G185" i="32"/>
  <c r="G22" i="32" s="1"/>
  <c r="F185" i="32"/>
  <c r="F22" i="32" s="1"/>
  <c r="E185" i="32"/>
  <c r="E22" i="32" s="1"/>
  <c r="D185" i="32"/>
  <c r="D22" i="32" s="1"/>
  <c r="C185" i="32"/>
  <c r="C22" i="32" s="1"/>
  <c r="A185" i="32"/>
  <c r="A22" i="32" s="1"/>
  <c r="A184" i="32"/>
  <c r="A21" i="32" s="1"/>
  <c r="A183" i="32"/>
  <c r="A20" i="32" s="1"/>
  <c r="A182" i="32"/>
  <c r="A19" i="32" s="1"/>
  <c r="A181" i="32"/>
  <c r="A18" i="32" s="1"/>
  <c r="A180" i="32"/>
  <c r="A17" i="32" s="1"/>
  <c r="A179" i="32"/>
  <c r="A16" i="32" s="1"/>
  <c r="A178" i="32"/>
  <c r="A15" i="32" s="1"/>
  <c r="A177" i="32"/>
  <c r="A14" i="32" s="1"/>
  <c r="A176" i="32"/>
  <c r="A13" i="32" s="1"/>
  <c r="A175" i="32"/>
  <c r="A174" i="32"/>
  <c r="A11" i="32" s="1"/>
  <c r="A173" i="32"/>
  <c r="A10" i="32" s="1"/>
  <c r="A172" i="32"/>
  <c r="A9" i="32" s="1"/>
  <c r="A171" i="32"/>
  <c r="A169" i="32"/>
  <c r="A6" i="32" s="1"/>
  <c r="B163" i="32"/>
  <c r="C163" i="32" s="1"/>
  <c r="C34" i="32" s="1"/>
  <c r="A119" i="32"/>
  <c r="A116" i="32"/>
  <c r="A115" i="32"/>
  <c r="A113" i="32"/>
  <c r="A112" i="32"/>
  <c r="Q104" i="32"/>
  <c r="P104" i="32"/>
  <c r="O104" i="32"/>
  <c r="N104" i="32"/>
  <c r="M104" i="32"/>
  <c r="L104" i="32"/>
  <c r="K104" i="32"/>
  <c r="J104" i="32"/>
  <c r="I104" i="32"/>
  <c r="H104" i="32"/>
  <c r="G104" i="32"/>
  <c r="F104" i="32"/>
  <c r="E104" i="32"/>
  <c r="D104" i="32"/>
  <c r="C104" i="32"/>
  <c r="A67" i="32"/>
  <c r="A36" i="32"/>
  <c r="Q35" i="32"/>
  <c r="P35" i="32"/>
  <c r="O35" i="32"/>
  <c r="N35" i="32"/>
  <c r="M35" i="32"/>
  <c r="L35" i="32"/>
  <c r="K35" i="32"/>
  <c r="J35" i="32"/>
  <c r="I35" i="32"/>
  <c r="H35" i="32"/>
  <c r="G35" i="32"/>
  <c r="F35" i="32"/>
  <c r="E35" i="32"/>
  <c r="D35" i="32"/>
  <c r="C35" i="32"/>
  <c r="A35" i="32"/>
  <c r="A34" i="32"/>
  <c r="A31" i="32"/>
  <c r="A30" i="32"/>
  <c r="A29" i="32"/>
  <c r="Q28" i="32"/>
  <c r="P28" i="32"/>
  <c r="O28" i="32"/>
  <c r="N28" i="32"/>
  <c r="M28" i="32"/>
  <c r="L28" i="32"/>
  <c r="K28" i="32"/>
  <c r="J28" i="32"/>
  <c r="I28" i="32"/>
  <c r="H28" i="32"/>
  <c r="A25" i="32"/>
  <c r="A23" i="32"/>
  <c r="N22" i="32"/>
  <c r="A12" i="32"/>
  <c r="A8" i="32"/>
  <c r="A7" i="32"/>
  <c r="A5" i="32"/>
  <c r="A4" i="32"/>
  <c r="B67" i="31"/>
  <c r="B66" i="31"/>
  <c r="P56" i="31"/>
  <c r="O56" i="31"/>
  <c r="N56" i="31"/>
  <c r="M56" i="31"/>
  <c r="L56" i="31"/>
  <c r="K56" i="31"/>
  <c r="J56" i="31"/>
  <c r="I56" i="31"/>
  <c r="H56" i="31"/>
  <c r="G56" i="31"/>
  <c r="F56" i="31"/>
  <c r="E56" i="31"/>
  <c r="D56" i="31"/>
  <c r="C56" i="31"/>
  <c r="B56" i="31"/>
  <c r="B55" i="31"/>
  <c r="N55" i="31" s="1"/>
  <c r="P54" i="31"/>
  <c r="O54" i="31"/>
  <c r="N54" i="31"/>
  <c r="M54" i="31"/>
  <c r="L54" i="31"/>
  <c r="K54" i="31"/>
  <c r="J54" i="31"/>
  <c r="I54" i="31"/>
  <c r="H54" i="31"/>
  <c r="G54" i="31"/>
  <c r="F54" i="31"/>
  <c r="E54" i="31"/>
  <c r="D54" i="31"/>
  <c r="C54" i="31"/>
  <c r="B54" i="31"/>
  <c r="P53" i="31"/>
  <c r="O53" i="31"/>
  <c r="N53" i="31"/>
  <c r="M53" i="31"/>
  <c r="L53" i="31"/>
  <c r="K53" i="31"/>
  <c r="J53" i="31"/>
  <c r="I53" i="31"/>
  <c r="H53" i="31"/>
  <c r="G53" i="31"/>
  <c r="F53" i="31"/>
  <c r="E53" i="31"/>
  <c r="D53" i="31"/>
  <c r="C53" i="31"/>
  <c r="B53" i="31"/>
  <c r="V52" i="31"/>
  <c r="U52" i="31"/>
  <c r="T52" i="31"/>
  <c r="S52" i="31"/>
  <c r="R52" i="31"/>
  <c r="Q52" i="31"/>
  <c r="P52" i="31"/>
  <c r="O52" i="31"/>
  <c r="N52" i="31"/>
  <c r="M52" i="31"/>
  <c r="L52" i="31"/>
  <c r="K52" i="31"/>
  <c r="J52" i="31"/>
  <c r="I52" i="31"/>
  <c r="H52" i="31"/>
  <c r="G52" i="31"/>
  <c r="F52" i="31"/>
  <c r="E52" i="31"/>
  <c r="D52" i="31"/>
  <c r="C52" i="31"/>
  <c r="B52" i="31"/>
  <c r="P50" i="31"/>
  <c r="O50" i="31"/>
  <c r="N50" i="31"/>
  <c r="M50" i="31"/>
  <c r="L50" i="31"/>
  <c r="K50" i="31"/>
  <c r="J50" i="31"/>
  <c r="I50" i="31"/>
  <c r="H50" i="31"/>
  <c r="G50" i="31"/>
  <c r="F50" i="31"/>
  <c r="E50" i="31"/>
  <c r="D50" i="31"/>
  <c r="C50" i="31"/>
  <c r="B50" i="31"/>
  <c r="B36" i="31"/>
  <c r="N51" i="31" s="1"/>
  <c r="B33" i="31"/>
  <c r="K31" i="31"/>
  <c r="B184" i="32" s="1"/>
  <c r="B31" i="31"/>
  <c r="I49" i="31" s="1"/>
  <c r="K30" i="31"/>
  <c r="B183" i="32" s="1"/>
  <c r="B30" i="31"/>
  <c r="B48" i="31" s="1"/>
  <c r="K29" i="31"/>
  <c r="B182" i="32" s="1"/>
  <c r="B29" i="31"/>
  <c r="B46" i="31" s="1"/>
  <c r="K28" i="31"/>
  <c r="B181" i="32" s="1"/>
  <c r="K27" i="31"/>
  <c r="B180" i="32" s="1"/>
  <c r="B27" i="31"/>
  <c r="K26" i="31"/>
  <c r="B179" i="32" s="1"/>
  <c r="K25" i="31"/>
  <c r="B178" i="32" s="1"/>
  <c r="K24" i="31"/>
  <c r="B177" i="32" s="1"/>
  <c r="K23" i="31"/>
  <c r="B176" i="32" s="1"/>
  <c r="K22" i="31"/>
  <c r="B175" i="32" s="1"/>
  <c r="K21" i="31"/>
  <c r="B174" i="32" s="1"/>
  <c r="B21" i="31"/>
  <c r="K20" i="31"/>
  <c r="B173" i="32" s="1"/>
  <c r="K19" i="31"/>
  <c r="B172" i="32" s="1"/>
  <c r="K18" i="31"/>
  <c r="B171" i="32" s="1"/>
  <c r="K17" i="31"/>
  <c r="I58" i="31" s="1"/>
  <c r="B8" i="31"/>
  <c r="C8" i="31" s="1"/>
  <c r="K7" i="31"/>
  <c r="K5" i="31"/>
  <c r="B36" i="29"/>
  <c r="J51" i="29" s="1"/>
  <c r="B36" i="27"/>
  <c r="M51" i="27" s="1"/>
  <c r="C232" i="30"/>
  <c r="B205" i="30"/>
  <c r="B214" i="30" s="1"/>
  <c r="B198" i="30"/>
  <c r="B199" i="30" s="1"/>
  <c r="Q185" i="30"/>
  <c r="Q22" i="30" s="1"/>
  <c r="P185" i="30"/>
  <c r="O185" i="30"/>
  <c r="O22" i="30" s="1"/>
  <c r="N185" i="30"/>
  <c r="M185" i="30"/>
  <c r="M22" i="30" s="1"/>
  <c r="L185" i="30"/>
  <c r="L22" i="30" s="1"/>
  <c r="K185" i="30"/>
  <c r="K22" i="30" s="1"/>
  <c r="J185" i="30"/>
  <c r="J22" i="30" s="1"/>
  <c r="I185" i="30"/>
  <c r="I22" i="30" s="1"/>
  <c r="H185" i="30"/>
  <c r="H22" i="30" s="1"/>
  <c r="G185" i="30"/>
  <c r="G22" i="30" s="1"/>
  <c r="F185" i="30"/>
  <c r="F22" i="30" s="1"/>
  <c r="E185" i="30"/>
  <c r="E22" i="30" s="1"/>
  <c r="D185" i="30"/>
  <c r="D22" i="30" s="1"/>
  <c r="C185" i="30"/>
  <c r="C22" i="30" s="1"/>
  <c r="A185" i="30"/>
  <c r="A22" i="30" s="1"/>
  <c r="A184" i="30"/>
  <c r="A21" i="30" s="1"/>
  <c r="A183" i="30"/>
  <c r="A20" i="30" s="1"/>
  <c r="A182" i="30"/>
  <c r="A19" i="30" s="1"/>
  <c r="A181" i="30"/>
  <c r="A18" i="30" s="1"/>
  <c r="A180" i="30"/>
  <c r="A17" i="30" s="1"/>
  <c r="A179" i="30"/>
  <c r="A178" i="30"/>
  <c r="A15" i="30" s="1"/>
  <c r="A177" i="30"/>
  <c r="A14" i="30" s="1"/>
  <c r="A176" i="30"/>
  <c r="A13" i="30" s="1"/>
  <c r="A175" i="30"/>
  <c r="A12" i="30" s="1"/>
  <c r="A174" i="30"/>
  <c r="A11" i="30" s="1"/>
  <c r="A173" i="30"/>
  <c r="A10" i="30" s="1"/>
  <c r="A172" i="30"/>
  <c r="A9" i="30" s="1"/>
  <c r="A171" i="30"/>
  <c r="A169" i="30"/>
  <c r="A6" i="30" s="1"/>
  <c r="B163" i="30"/>
  <c r="C163" i="30" s="1"/>
  <c r="C34" i="30" s="1"/>
  <c r="A119" i="30"/>
  <c r="A116" i="30"/>
  <c r="A115" i="30"/>
  <c r="A113" i="30"/>
  <c r="A112" i="30"/>
  <c r="Q104" i="30"/>
  <c r="P104" i="30"/>
  <c r="O104" i="30"/>
  <c r="N104" i="30"/>
  <c r="M104" i="30"/>
  <c r="L104" i="30"/>
  <c r="K104" i="30"/>
  <c r="J104" i="30"/>
  <c r="I104" i="30"/>
  <c r="H104" i="30"/>
  <c r="G104" i="30"/>
  <c r="F104" i="30"/>
  <c r="E104" i="30"/>
  <c r="D104" i="30"/>
  <c r="C104" i="30"/>
  <c r="A67" i="30"/>
  <c r="A36" i="30"/>
  <c r="Q35" i="30"/>
  <c r="P35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A35" i="30"/>
  <c r="A34" i="30"/>
  <c r="A31" i="30"/>
  <c r="A30" i="30"/>
  <c r="A29" i="30"/>
  <c r="Q28" i="30"/>
  <c r="P28" i="30"/>
  <c r="O28" i="30"/>
  <c r="N28" i="30"/>
  <c r="M28" i="30"/>
  <c r="L28" i="30"/>
  <c r="K28" i="30"/>
  <c r="J28" i="30"/>
  <c r="I28" i="30"/>
  <c r="H28" i="30"/>
  <c r="A25" i="30"/>
  <c r="A23" i="30"/>
  <c r="P22" i="30"/>
  <c r="N22" i="30"/>
  <c r="A16" i="30"/>
  <c r="A8" i="30"/>
  <c r="A7" i="30"/>
  <c r="A5" i="30"/>
  <c r="A4" i="30"/>
  <c r="B67" i="29"/>
  <c r="B6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C56" i="29"/>
  <c r="B56" i="29"/>
  <c r="B55" i="29"/>
  <c r="N55" i="29" s="1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C54" i="29"/>
  <c r="B54" i="29"/>
  <c r="P53" i="29"/>
  <c r="O53" i="29"/>
  <c r="N53" i="29"/>
  <c r="M53" i="29"/>
  <c r="L53" i="29"/>
  <c r="K53" i="29"/>
  <c r="J53" i="29"/>
  <c r="I53" i="29"/>
  <c r="H53" i="29"/>
  <c r="G53" i="29"/>
  <c r="F53" i="29"/>
  <c r="E53" i="29"/>
  <c r="D53" i="29"/>
  <c r="C53" i="29"/>
  <c r="B53" i="29"/>
  <c r="V52" i="29"/>
  <c r="U52" i="29"/>
  <c r="T52" i="29"/>
  <c r="S52" i="29"/>
  <c r="R52" i="29"/>
  <c r="Q52" i="29"/>
  <c r="P52" i="29"/>
  <c r="O52" i="29"/>
  <c r="N52" i="29"/>
  <c r="M52" i="29"/>
  <c r="L52" i="29"/>
  <c r="K52" i="29"/>
  <c r="J52" i="29"/>
  <c r="I52" i="29"/>
  <c r="H52" i="29"/>
  <c r="G52" i="29"/>
  <c r="F52" i="29"/>
  <c r="E52" i="29"/>
  <c r="D52" i="29"/>
  <c r="C52" i="29"/>
  <c r="B52" i="29"/>
  <c r="K51" i="29"/>
  <c r="P50" i="29"/>
  <c r="O50" i="29"/>
  <c r="N50" i="29"/>
  <c r="M50" i="29"/>
  <c r="L50" i="29"/>
  <c r="K50" i="29"/>
  <c r="J50" i="29"/>
  <c r="I50" i="29"/>
  <c r="H50" i="29"/>
  <c r="G50" i="29"/>
  <c r="F50" i="29"/>
  <c r="E50" i="29"/>
  <c r="D50" i="29"/>
  <c r="C50" i="29"/>
  <c r="B50" i="29"/>
  <c r="B33" i="29"/>
  <c r="K31" i="29"/>
  <c r="B184" i="30" s="1"/>
  <c r="B31" i="29"/>
  <c r="O49" i="29" s="1"/>
  <c r="K30" i="29"/>
  <c r="B183" i="30" s="1"/>
  <c r="B30" i="29"/>
  <c r="B48" i="29" s="1"/>
  <c r="K29" i="29"/>
  <c r="B182" i="30" s="1"/>
  <c r="B29" i="29"/>
  <c r="B46" i="29" s="1"/>
  <c r="C206" i="30" s="1"/>
  <c r="C47" i="30" s="1"/>
  <c r="K28" i="29"/>
  <c r="B181" i="30" s="1"/>
  <c r="K27" i="29"/>
  <c r="B180" i="30" s="1"/>
  <c r="B27" i="29"/>
  <c r="K26" i="29"/>
  <c r="B179" i="30" s="1"/>
  <c r="K25" i="29"/>
  <c r="B178" i="30" s="1"/>
  <c r="K24" i="29"/>
  <c r="B177" i="30" s="1"/>
  <c r="K23" i="29"/>
  <c r="B176" i="30" s="1"/>
  <c r="K22" i="29"/>
  <c r="B175" i="30" s="1"/>
  <c r="K21" i="29"/>
  <c r="B174" i="30" s="1"/>
  <c r="B21" i="29"/>
  <c r="C161" i="30" s="1"/>
  <c r="K20" i="29"/>
  <c r="B173" i="30" s="1"/>
  <c r="K19" i="29"/>
  <c r="B172" i="30" s="1"/>
  <c r="K18" i="29"/>
  <c r="B171" i="30" s="1"/>
  <c r="K17" i="29"/>
  <c r="N58" i="29" s="1"/>
  <c r="B8" i="29"/>
  <c r="C8" i="29" s="1"/>
  <c r="K7" i="29"/>
  <c r="K5" i="29"/>
  <c r="B30" i="27"/>
  <c r="B48" i="27" s="1"/>
  <c r="C215" i="28" s="1"/>
  <c r="C50" i="28" s="1"/>
  <c r="B31" i="27"/>
  <c r="H49" i="27" s="1"/>
  <c r="B29" i="27"/>
  <c r="B46" i="27" s="1"/>
  <c r="C206" i="28" s="1"/>
  <c r="C47" i="28" s="1"/>
  <c r="C232" i="28"/>
  <c r="B205" i="28"/>
  <c r="B214" i="28" s="1"/>
  <c r="B198" i="28"/>
  <c r="B199" i="28" s="1"/>
  <c r="Q185" i="28"/>
  <c r="Q22" i="28" s="1"/>
  <c r="P185" i="28"/>
  <c r="P22" i="28" s="1"/>
  <c r="O185" i="28"/>
  <c r="N185" i="28"/>
  <c r="N22" i="28" s="1"/>
  <c r="M185" i="28"/>
  <c r="L185" i="28"/>
  <c r="L22" i="28" s="1"/>
  <c r="K185" i="28"/>
  <c r="K22" i="28" s="1"/>
  <c r="J185" i="28"/>
  <c r="J22" i="28" s="1"/>
  <c r="I185" i="28"/>
  <c r="I22" i="28" s="1"/>
  <c r="H185" i="28"/>
  <c r="H22" i="28" s="1"/>
  <c r="G185" i="28"/>
  <c r="G22" i="28" s="1"/>
  <c r="F185" i="28"/>
  <c r="F22" i="28" s="1"/>
  <c r="E185" i="28"/>
  <c r="D185" i="28"/>
  <c r="D22" i="28" s="1"/>
  <c r="C185" i="28"/>
  <c r="C22" i="28" s="1"/>
  <c r="A185" i="28"/>
  <c r="A22" i="28" s="1"/>
  <c r="A184" i="28"/>
  <c r="A21" i="28" s="1"/>
  <c r="A183" i="28"/>
  <c r="A20" i="28" s="1"/>
  <c r="A182" i="28"/>
  <c r="A19" i="28" s="1"/>
  <c r="A181" i="28"/>
  <c r="A18" i="28" s="1"/>
  <c r="A180" i="28"/>
  <c r="A179" i="28"/>
  <c r="A16" i="28" s="1"/>
  <c r="A178" i="28"/>
  <c r="A15" i="28" s="1"/>
  <c r="A177" i="28"/>
  <c r="A176" i="28"/>
  <c r="A175" i="28"/>
  <c r="A12" i="28" s="1"/>
  <c r="A174" i="28"/>
  <c r="A11" i="28" s="1"/>
  <c r="A173" i="28"/>
  <c r="A10" i="28" s="1"/>
  <c r="A172" i="28"/>
  <c r="A9" i="28" s="1"/>
  <c r="A171" i="28"/>
  <c r="A8" i="28" s="1"/>
  <c r="A169" i="28"/>
  <c r="A6" i="28" s="1"/>
  <c r="B163" i="28"/>
  <c r="C163" i="28" s="1"/>
  <c r="C34" i="28" s="1"/>
  <c r="A119" i="28"/>
  <c r="A116" i="28"/>
  <c r="A115" i="28"/>
  <c r="A113" i="28"/>
  <c r="A112" i="28"/>
  <c r="Q104" i="28"/>
  <c r="P104" i="28"/>
  <c r="O104" i="28"/>
  <c r="N104" i="28"/>
  <c r="M104" i="28"/>
  <c r="L104" i="28"/>
  <c r="K104" i="28"/>
  <c r="J104" i="28"/>
  <c r="I104" i="28"/>
  <c r="H104" i="28"/>
  <c r="G104" i="28"/>
  <c r="F104" i="28"/>
  <c r="E104" i="28"/>
  <c r="D104" i="28"/>
  <c r="C104" i="28"/>
  <c r="A67" i="28"/>
  <c r="A36" i="28"/>
  <c r="Q35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C35" i="28"/>
  <c r="A35" i="28"/>
  <c r="A34" i="28"/>
  <c r="A31" i="28"/>
  <c r="A30" i="28"/>
  <c r="A29" i="28"/>
  <c r="Q28" i="28"/>
  <c r="P28" i="28"/>
  <c r="O28" i="28"/>
  <c r="N28" i="28"/>
  <c r="M28" i="28"/>
  <c r="L28" i="28"/>
  <c r="K28" i="28"/>
  <c r="J28" i="28"/>
  <c r="I28" i="28"/>
  <c r="H28" i="28"/>
  <c r="A25" i="28"/>
  <c r="A23" i="28"/>
  <c r="O22" i="28"/>
  <c r="M22" i="28"/>
  <c r="E22" i="28"/>
  <c r="A17" i="28"/>
  <c r="A14" i="28"/>
  <c r="A13" i="28"/>
  <c r="A7" i="28"/>
  <c r="A5" i="28"/>
  <c r="A4" i="28"/>
  <c r="B67" i="27"/>
  <c r="B6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B56" i="27"/>
  <c r="B55" i="27"/>
  <c r="N55" i="27" s="1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B52" i="27"/>
  <c r="N51" i="27"/>
  <c r="J51" i="27"/>
  <c r="F51" i="27"/>
  <c r="B51" i="27"/>
  <c r="C60" i="27" s="1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B33" i="27"/>
  <c r="K31" i="27"/>
  <c r="B184" i="28" s="1"/>
  <c r="K30" i="27"/>
  <c r="B183" i="28" s="1"/>
  <c r="K29" i="27"/>
  <c r="B182" i="28" s="1"/>
  <c r="K28" i="27"/>
  <c r="B181" i="28" s="1"/>
  <c r="K27" i="27"/>
  <c r="B180" i="28" s="1"/>
  <c r="B27" i="27"/>
  <c r="K26" i="27"/>
  <c r="B179" i="28" s="1"/>
  <c r="K25" i="27"/>
  <c r="B178" i="28" s="1"/>
  <c r="K24" i="27"/>
  <c r="B177" i="28" s="1"/>
  <c r="K23" i="27"/>
  <c r="B176" i="28" s="1"/>
  <c r="K22" i="27"/>
  <c r="B175" i="28" s="1"/>
  <c r="K21" i="27"/>
  <c r="B174" i="28" s="1"/>
  <c r="B21" i="27"/>
  <c r="K20" i="27"/>
  <c r="B173" i="28" s="1"/>
  <c r="K19" i="27"/>
  <c r="B172" i="28" s="1"/>
  <c r="K18" i="27"/>
  <c r="B171" i="28" s="1"/>
  <c r="K17" i="27"/>
  <c r="P58" i="27" s="1"/>
  <c r="B8" i="27"/>
  <c r="C8" i="27" s="1"/>
  <c r="K7" i="27"/>
  <c r="K5" i="27"/>
  <c r="C20" i="26"/>
  <c r="C19" i="26"/>
  <c r="C18" i="26"/>
  <c r="C17" i="26"/>
  <c r="M51" i="29" l="1"/>
  <c r="C51" i="29"/>
  <c r="P47" i="27"/>
  <c r="K55" i="27"/>
  <c r="B51" i="29"/>
  <c r="C60" i="29" s="1"/>
  <c r="E51" i="29"/>
  <c r="C51" i="33"/>
  <c r="K49" i="33"/>
  <c r="C51" i="27"/>
  <c r="G51" i="27"/>
  <c r="K51" i="27"/>
  <c r="O51" i="27"/>
  <c r="E51" i="33"/>
  <c r="E55" i="33"/>
  <c r="K51" i="33"/>
  <c r="I55" i="33"/>
  <c r="D51" i="27"/>
  <c r="H51" i="27"/>
  <c r="L51" i="27"/>
  <c r="P51" i="27"/>
  <c r="L47" i="27"/>
  <c r="E51" i="27"/>
  <c r="I51" i="27"/>
  <c r="G55" i="27"/>
  <c r="E58" i="29"/>
  <c r="L51" i="33"/>
  <c r="M47" i="29"/>
  <c r="D163" i="32"/>
  <c r="E163" i="32" s="1"/>
  <c r="H58" i="29"/>
  <c r="M58" i="29"/>
  <c r="C58" i="29"/>
  <c r="P58" i="29"/>
  <c r="G55" i="29"/>
  <c r="O55" i="29"/>
  <c r="D163" i="28"/>
  <c r="E163" i="28" s="1"/>
  <c r="O51" i="31"/>
  <c r="I55" i="29"/>
  <c r="G47" i="31"/>
  <c r="C55" i="31"/>
  <c r="K55" i="31"/>
  <c r="H55" i="31"/>
  <c r="C55" i="27"/>
  <c r="C55" i="29"/>
  <c r="K55" i="29"/>
  <c r="O47" i="31"/>
  <c r="E51" i="31"/>
  <c r="E55" i="31"/>
  <c r="M55" i="31"/>
  <c r="G51" i="33"/>
  <c r="M51" i="33"/>
  <c r="B61" i="29"/>
  <c r="E55" i="29"/>
  <c r="M55" i="29"/>
  <c r="L58" i="29"/>
  <c r="I51" i="31"/>
  <c r="G55" i="31"/>
  <c r="P55" i="31"/>
  <c r="G47" i="33"/>
  <c r="H51" i="33"/>
  <c r="P51" i="33"/>
  <c r="M55" i="33"/>
  <c r="M58" i="33"/>
  <c r="M47" i="27"/>
  <c r="H47" i="27"/>
  <c r="L49" i="27"/>
  <c r="D49" i="27"/>
  <c r="K49" i="29"/>
  <c r="G47" i="29"/>
  <c r="G49" i="29"/>
  <c r="I49" i="29"/>
  <c r="E47" i="29"/>
  <c r="C47" i="29"/>
  <c r="C49" i="29"/>
  <c r="O47" i="29"/>
  <c r="I47" i="29"/>
  <c r="I51" i="29"/>
  <c r="G51" i="29"/>
  <c r="P51" i="29"/>
  <c r="H51" i="29"/>
  <c r="O51" i="29"/>
  <c r="N51" i="29"/>
  <c r="F51" i="29"/>
  <c r="L51" i="29"/>
  <c r="D51" i="29"/>
  <c r="I47" i="33"/>
  <c r="O49" i="33"/>
  <c r="O55" i="27"/>
  <c r="D58" i="29"/>
  <c r="O58" i="29"/>
  <c r="C51" i="31"/>
  <c r="I55" i="31"/>
  <c r="M47" i="33"/>
  <c r="D163" i="34"/>
  <c r="D51" i="33"/>
  <c r="O51" i="33"/>
  <c r="G55" i="33"/>
  <c r="O47" i="33"/>
  <c r="G58" i="29"/>
  <c r="G51" i="31"/>
  <c r="L55" i="31"/>
  <c r="K55" i="33"/>
  <c r="C49" i="33"/>
  <c r="I58" i="29"/>
  <c r="K51" i="31"/>
  <c r="D55" i="31"/>
  <c r="O55" i="31"/>
  <c r="G49" i="33"/>
  <c r="I51" i="33"/>
  <c r="O55" i="33"/>
  <c r="E58" i="33"/>
  <c r="K58" i="29"/>
  <c r="M51" i="31"/>
  <c r="E47" i="33"/>
  <c r="I58" i="33"/>
  <c r="C206" i="34"/>
  <c r="C47" i="34" s="1"/>
  <c r="C215" i="34"/>
  <c r="C50" i="34" s="1"/>
  <c r="N49" i="33"/>
  <c r="J49" i="33"/>
  <c r="F49" i="33"/>
  <c r="B49" i="33"/>
  <c r="C48" i="33" s="1"/>
  <c r="P47" i="33"/>
  <c r="L47" i="33"/>
  <c r="H47" i="33"/>
  <c r="D47" i="33"/>
  <c r="P49" i="33"/>
  <c r="L49" i="33"/>
  <c r="H49" i="33"/>
  <c r="D49" i="33"/>
  <c r="N47" i="33"/>
  <c r="J47" i="33"/>
  <c r="F47" i="33"/>
  <c r="B47" i="33"/>
  <c r="C46" i="33" s="1"/>
  <c r="C47" i="33"/>
  <c r="K47" i="33"/>
  <c r="E49" i="33"/>
  <c r="M49" i="33"/>
  <c r="G58" i="33"/>
  <c r="P58" i="33"/>
  <c r="L58" i="33"/>
  <c r="H58" i="33"/>
  <c r="D58" i="33"/>
  <c r="N58" i="33"/>
  <c r="J58" i="33"/>
  <c r="F58" i="33"/>
  <c r="B58" i="33"/>
  <c r="B169" i="34" s="1"/>
  <c r="C161" i="34"/>
  <c r="C162" i="34"/>
  <c r="C102" i="34" s="1"/>
  <c r="E163" i="34"/>
  <c r="D34" i="34"/>
  <c r="C58" i="33"/>
  <c r="K58" i="33"/>
  <c r="B51" i="33"/>
  <c r="F51" i="33"/>
  <c r="J51" i="33"/>
  <c r="D55" i="33"/>
  <c r="H55" i="33"/>
  <c r="L55" i="33"/>
  <c r="P55" i="33"/>
  <c r="F55" i="33"/>
  <c r="J55" i="33"/>
  <c r="C206" i="32"/>
  <c r="C47" i="32" s="1"/>
  <c r="C215" i="32"/>
  <c r="C50" i="32" s="1"/>
  <c r="C162" i="32"/>
  <c r="C102" i="32" s="1"/>
  <c r="C161" i="32"/>
  <c r="K58" i="31"/>
  <c r="P49" i="31"/>
  <c r="L49" i="31"/>
  <c r="H49" i="31"/>
  <c r="D49" i="31"/>
  <c r="N47" i="31"/>
  <c r="J47" i="31"/>
  <c r="F47" i="31"/>
  <c r="B47" i="31"/>
  <c r="C46" i="31" s="1"/>
  <c r="N49" i="31"/>
  <c r="J49" i="31"/>
  <c r="F49" i="31"/>
  <c r="B49" i="31"/>
  <c r="C48" i="31" s="1"/>
  <c r="P47" i="31"/>
  <c r="L47" i="31"/>
  <c r="H47" i="31"/>
  <c r="D47" i="31"/>
  <c r="C47" i="31"/>
  <c r="K47" i="31"/>
  <c r="E49" i="31"/>
  <c r="M49" i="31"/>
  <c r="G58" i="31"/>
  <c r="O58" i="31"/>
  <c r="E47" i="31"/>
  <c r="M47" i="31"/>
  <c r="G49" i="31"/>
  <c r="O49" i="31"/>
  <c r="N58" i="31"/>
  <c r="J58" i="31"/>
  <c r="F58" i="31"/>
  <c r="B58" i="31"/>
  <c r="B169" i="32" s="1"/>
  <c r="P58" i="31"/>
  <c r="L58" i="31"/>
  <c r="H58" i="31"/>
  <c r="D58" i="31"/>
  <c r="C58" i="31"/>
  <c r="I47" i="31"/>
  <c r="C49" i="31"/>
  <c r="K49" i="31"/>
  <c r="E58" i="31"/>
  <c r="M58" i="31"/>
  <c r="D51" i="31"/>
  <c r="H51" i="31"/>
  <c r="L51" i="31"/>
  <c r="P51" i="31"/>
  <c r="F55" i="31"/>
  <c r="J55" i="31"/>
  <c r="B51" i="31"/>
  <c r="F51" i="31"/>
  <c r="J51" i="31"/>
  <c r="C59" i="29"/>
  <c r="D59" i="29" s="1"/>
  <c r="C59" i="27"/>
  <c r="D59" i="27" s="1"/>
  <c r="E59" i="27" s="1"/>
  <c r="F59" i="27" s="1"/>
  <c r="G59" i="27" s="1"/>
  <c r="H59" i="27" s="1"/>
  <c r="I59" i="27" s="1"/>
  <c r="C215" i="30"/>
  <c r="C50" i="30" s="1"/>
  <c r="N49" i="29"/>
  <c r="J49" i="29"/>
  <c r="F49" i="29"/>
  <c r="B49" i="29"/>
  <c r="C48" i="29" s="1"/>
  <c r="P47" i="29"/>
  <c r="L47" i="29"/>
  <c r="H47" i="29"/>
  <c r="P49" i="29"/>
  <c r="L49" i="29"/>
  <c r="H49" i="29"/>
  <c r="D49" i="29"/>
  <c r="N47" i="29"/>
  <c r="J47" i="29"/>
  <c r="F47" i="29"/>
  <c r="B47" i="29"/>
  <c r="C46" i="29" s="1"/>
  <c r="D47" i="29"/>
  <c r="K47" i="29"/>
  <c r="E49" i="29"/>
  <c r="M49" i="29"/>
  <c r="D232" i="30"/>
  <c r="D60" i="29"/>
  <c r="D163" i="30"/>
  <c r="D161" i="30"/>
  <c r="D162" i="30" s="1"/>
  <c r="C78" i="30"/>
  <c r="C79" i="30" s="1"/>
  <c r="D55" i="29"/>
  <c r="H55" i="29"/>
  <c r="L55" i="29"/>
  <c r="P55" i="29"/>
  <c r="B58" i="29"/>
  <c r="B169" i="30" s="1"/>
  <c r="F58" i="29"/>
  <c r="J58" i="29"/>
  <c r="C2" i="30"/>
  <c r="C162" i="30"/>
  <c r="F55" i="29"/>
  <c r="J55" i="29"/>
  <c r="D47" i="27"/>
  <c r="P49" i="27"/>
  <c r="I47" i="27"/>
  <c r="E49" i="27"/>
  <c r="I49" i="27"/>
  <c r="M49" i="27"/>
  <c r="B47" i="27"/>
  <c r="C46" i="27" s="1"/>
  <c r="F47" i="27"/>
  <c r="J47" i="27"/>
  <c r="N47" i="27"/>
  <c r="B49" i="27"/>
  <c r="C48" i="27" s="1"/>
  <c r="F49" i="27"/>
  <c r="J49" i="27"/>
  <c r="N49" i="27"/>
  <c r="C47" i="27"/>
  <c r="G47" i="27"/>
  <c r="K47" i="27"/>
  <c r="O47" i="27"/>
  <c r="C49" i="27"/>
  <c r="G49" i="27"/>
  <c r="K49" i="27"/>
  <c r="O49" i="27"/>
  <c r="E47" i="27"/>
  <c r="D232" i="28"/>
  <c r="D60" i="27"/>
  <c r="E58" i="27"/>
  <c r="M58" i="27"/>
  <c r="D55" i="27"/>
  <c r="H55" i="27"/>
  <c r="L55" i="27"/>
  <c r="P55" i="27"/>
  <c r="B58" i="27"/>
  <c r="B169" i="28" s="1"/>
  <c r="F58" i="27"/>
  <c r="J58" i="27"/>
  <c r="N58" i="27"/>
  <c r="C161" i="28"/>
  <c r="C162" i="28"/>
  <c r="C102" i="28" s="1"/>
  <c r="I58" i="27"/>
  <c r="E55" i="27"/>
  <c r="I55" i="27"/>
  <c r="M55" i="27"/>
  <c r="C58" i="27"/>
  <c r="G58" i="27"/>
  <c r="K58" i="27"/>
  <c r="O58" i="27"/>
  <c r="F55" i="27"/>
  <c r="J55" i="27"/>
  <c r="D58" i="27"/>
  <c r="H58" i="27"/>
  <c r="L58" i="27"/>
  <c r="B163" i="20"/>
  <c r="C163" i="20" s="1"/>
  <c r="A169" i="20"/>
  <c r="A171" i="20"/>
  <c r="A172" i="20"/>
  <c r="A173" i="20"/>
  <c r="A174" i="20"/>
  <c r="A175" i="20"/>
  <c r="A176" i="20"/>
  <c r="A177" i="20"/>
  <c r="A178" i="20"/>
  <c r="A179" i="20"/>
  <c r="A180" i="20"/>
  <c r="A181" i="20"/>
  <c r="A182" i="20"/>
  <c r="A183" i="20"/>
  <c r="A184" i="20"/>
  <c r="A185" i="20"/>
  <c r="C185" i="20"/>
  <c r="D185" i="20"/>
  <c r="E185" i="20"/>
  <c r="F185" i="20"/>
  <c r="G185" i="20"/>
  <c r="H185" i="20"/>
  <c r="I185" i="20"/>
  <c r="J185" i="20"/>
  <c r="K185" i="20"/>
  <c r="L185" i="20"/>
  <c r="M185" i="20"/>
  <c r="N185" i="20"/>
  <c r="O185" i="20"/>
  <c r="P185" i="20"/>
  <c r="Q185" i="20"/>
  <c r="B198" i="20"/>
  <c r="B199" i="20" s="1"/>
  <c r="B205" i="20"/>
  <c r="B214" i="20" s="1"/>
  <c r="C232" i="20"/>
  <c r="C7" i="26"/>
  <c r="J59" i="27" l="1"/>
  <c r="K59" i="27" s="1"/>
  <c r="L59" i="27" s="1"/>
  <c r="M59" i="27" s="1"/>
  <c r="N59" i="27" s="1"/>
  <c r="O59" i="27" s="1"/>
  <c r="P59" i="27" s="1"/>
  <c r="D34" i="32"/>
  <c r="D34" i="28"/>
  <c r="E59" i="29"/>
  <c r="F59" i="29" s="1"/>
  <c r="G59" i="29" s="1"/>
  <c r="H59" i="29" s="1"/>
  <c r="I59" i="29" s="1"/>
  <c r="J59" i="29" s="1"/>
  <c r="K59" i="29" s="1"/>
  <c r="L59" i="29" s="1"/>
  <c r="M59" i="29" s="1"/>
  <c r="N59" i="29" s="1"/>
  <c r="O59" i="29" s="1"/>
  <c r="P59" i="29" s="1"/>
  <c r="D215" i="34"/>
  <c r="D50" i="34" s="1"/>
  <c r="D48" i="33"/>
  <c r="F163" i="34"/>
  <c r="E34" i="34"/>
  <c r="C231" i="34"/>
  <c r="C60" i="33"/>
  <c r="C59" i="33"/>
  <c r="D59" i="33" s="1"/>
  <c r="E59" i="33" s="1"/>
  <c r="F59" i="33" s="1"/>
  <c r="G59" i="33" s="1"/>
  <c r="H59" i="33" s="1"/>
  <c r="I59" i="33" s="1"/>
  <c r="J59" i="33" s="1"/>
  <c r="K59" i="33" s="1"/>
  <c r="L59" i="33" s="1"/>
  <c r="M59" i="33" s="1"/>
  <c r="N59" i="33" s="1"/>
  <c r="O59" i="33" s="1"/>
  <c r="P59" i="33" s="1"/>
  <c r="C184" i="34"/>
  <c r="C21" i="34" s="1"/>
  <c r="C180" i="34"/>
  <c r="C17" i="34" s="1"/>
  <c r="C176" i="34"/>
  <c r="C13" i="34" s="1"/>
  <c r="C172" i="34"/>
  <c r="C9" i="34" s="1"/>
  <c r="C198" i="34"/>
  <c r="C182" i="34"/>
  <c r="C19" i="34" s="1"/>
  <c r="C178" i="34"/>
  <c r="C15" i="34" s="1"/>
  <c r="C181" i="34"/>
  <c r="C18" i="34" s="1"/>
  <c r="C177" i="34"/>
  <c r="C14" i="34" s="1"/>
  <c r="C183" i="34"/>
  <c r="C20" i="34" s="1"/>
  <c r="C179" i="34"/>
  <c r="C16" i="34" s="1"/>
  <c r="C175" i="34"/>
  <c r="C12" i="34" s="1"/>
  <c r="C171" i="34"/>
  <c r="C8" i="34" s="1"/>
  <c r="C173" i="34"/>
  <c r="C10" i="34" s="1"/>
  <c r="C170" i="34"/>
  <c r="C7" i="34" s="1"/>
  <c r="C164" i="34"/>
  <c r="C165" i="34" s="1"/>
  <c r="C174" i="34"/>
  <c r="C11" i="34" s="1"/>
  <c r="C168" i="34"/>
  <c r="D161" i="34"/>
  <c r="C78" i="34"/>
  <c r="C79" i="34" s="1"/>
  <c r="C2" i="34"/>
  <c r="B61" i="33"/>
  <c r="C197" i="34" s="1"/>
  <c r="D206" i="34"/>
  <c r="D47" i="34" s="1"/>
  <c r="D46" i="33"/>
  <c r="D215" i="32"/>
  <c r="D50" i="32" s="1"/>
  <c r="D48" i="31"/>
  <c r="C231" i="32"/>
  <c r="D161" i="32"/>
  <c r="C78" i="32"/>
  <c r="C79" i="32" s="1"/>
  <c r="C2" i="32"/>
  <c r="B61" i="31"/>
  <c r="C197" i="32" s="1"/>
  <c r="D206" i="32"/>
  <c r="D47" i="32" s="1"/>
  <c r="D46" i="31"/>
  <c r="C59" i="31"/>
  <c r="D59" i="31" s="1"/>
  <c r="E59" i="31" s="1"/>
  <c r="F59" i="31" s="1"/>
  <c r="G59" i="31" s="1"/>
  <c r="H59" i="31" s="1"/>
  <c r="I59" i="31" s="1"/>
  <c r="J59" i="31" s="1"/>
  <c r="K59" i="31" s="1"/>
  <c r="L59" i="31" s="1"/>
  <c r="M59" i="31" s="1"/>
  <c r="N59" i="31" s="1"/>
  <c r="O59" i="31" s="1"/>
  <c r="P59" i="31" s="1"/>
  <c r="C60" i="31"/>
  <c r="F163" i="32"/>
  <c r="E34" i="32"/>
  <c r="C198" i="32"/>
  <c r="C184" i="32"/>
  <c r="C21" i="32" s="1"/>
  <c r="C180" i="32"/>
  <c r="C17" i="32" s="1"/>
  <c r="C176" i="32"/>
  <c r="C13" i="32" s="1"/>
  <c r="C172" i="32"/>
  <c r="C9" i="32" s="1"/>
  <c r="C183" i="32"/>
  <c r="C20" i="32" s="1"/>
  <c r="C182" i="32"/>
  <c r="C19" i="32" s="1"/>
  <c r="C178" i="32"/>
  <c r="C15" i="32" s="1"/>
  <c r="C174" i="32"/>
  <c r="C11" i="32" s="1"/>
  <c r="C170" i="32"/>
  <c r="C7" i="32" s="1"/>
  <c r="C168" i="32"/>
  <c r="C181" i="32"/>
  <c r="C18" i="32" s="1"/>
  <c r="C177" i="32"/>
  <c r="C14" i="32" s="1"/>
  <c r="C173" i="32"/>
  <c r="C10" i="32" s="1"/>
  <c r="C171" i="32"/>
  <c r="C8" i="32" s="1"/>
  <c r="C179" i="32"/>
  <c r="C16" i="32" s="1"/>
  <c r="C175" i="32"/>
  <c r="C12" i="32" s="1"/>
  <c r="C164" i="32"/>
  <c r="C165" i="32" s="1"/>
  <c r="D215" i="30"/>
  <c r="D50" i="30" s="1"/>
  <c r="D48" i="29"/>
  <c r="D183" i="30"/>
  <c r="D20" i="30" s="1"/>
  <c r="D179" i="30"/>
  <c r="D16" i="30" s="1"/>
  <c r="D175" i="30"/>
  <c r="D12" i="30" s="1"/>
  <c r="D182" i="30"/>
  <c r="D19" i="30" s="1"/>
  <c r="D178" i="30"/>
  <c r="D15" i="30" s="1"/>
  <c r="D174" i="30"/>
  <c r="D11" i="30" s="1"/>
  <c r="D171" i="30"/>
  <c r="D8" i="30" s="1"/>
  <c r="D180" i="30"/>
  <c r="D17" i="30" s="1"/>
  <c r="D176" i="30"/>
  <c r="D13" i="30" s="1"/>
  <c r="D172" i="30"/>
  <c r="D9" i="30" s="1"/>
  <c r="D170" i="30"/>
  <c r="D7" i="30" s="1"/>
  <c r="D184" i="30"/>
  <c r="D21" i="30" s="1"/>
  <c r="D181" i="30"/>
  <c r="D18" i="30" s="1"/>
  <c r="D177" i="30"/>
  <c r="D14" i="30" s="1"/>
  <c r="D173" i="30"/>
  <c r="D10" i="30" s="1"/>
  <c r="D164" i="30"/>
  <c r="D165" i="30" s="1"/>
  <c r="E232" i="30"/>
  <c r="E60" i="29"/>
  <c r="D206" i="30"/>
  <c r="D47" i="30" s="1"/>
  <c r="D46" i="29"/>
  <c r="E163" i="30"/>
  <c r="D34" i="30"/>
  <c r="C184" i="30"/>
  <c r="C21" i="30" s="1"/>
  <c r="C180" i="30"/>
  <c r="C17" i="30" s="1"/>
  <c r="C176" i="30"/>
  <c r="C13" i="30" s="1"/>
  <c r="C198" i="30"/>
  <c r="C183" i="30"/>
  <c r="C20" i="30" s="1"/>
  <c r="C179" i="30"/>
  <c r="C16" i="30" s="1"/>
  <c r="C175" i="30"/>
  <c r="C12" i="30" s="1"/>
  <c r="C172" i="30"/>
  <c r="C9" i="30" s="1"/>
  <c r="C197" i="30"/>
  <c r="C181" i="30"/>
  <c r="C18" i="30" s="1"/>
  <c r="C177" i="30"/>
  <c r="C14" i="30" s="1"/>
  <c r="C173" i="30"/>
  <c r="C10" i="30" s="1"/>
  <c r="C170" i="30"/>
  <c r="C7" i="30" s="1"/>
  <c r="C168" i="30"/>
  <c r="C164" i="30"/>
  <c r="C165" i="30" s="1"/>
  <c r="C182" i="30"/>
  <c r="C19" i="30" s="1"/>
  <c r="C178" i="30"/>
  <c r="C15" i="30" s="1"/>
  <c r="C174" i="30"/>
  <c r="C11" i="30" s="1"/>
  <c r="C171" i="30"/>
  <c r="C8" i="30" s="1"/>
  <c r="C102" i="30"/>
  <c r="C61" i="29"/>
  <c r="D197" i="30" s="1"/>
  <c r="D29" i="30" s="1"/>
  <c r="E161" i="30"/>
  <c r="D2" i="30"/>
  <c r="D78" i="30"/>
  <c r="D79" i="30" s="1"/>
  <c r="D206" i="28"/>
  <c r="D47" i="28" s="1"/>
  <c r="D46" i="27"/>
  <c r="C198" i="28"/>
  <c r="C182" i="28"/>
  <c r="C19" i="28" s="1"/>
  <c r="C178" i="28"/>
  <c r="C15" i="28" s="1"/>
  <c r="C181" i="28"/>
  <c r="C18" i="28" s="1"/>
  <c r="C177" i="28"/>
  <c r="C14" i="28" s="1"/>
  <c r="C173" i="28"/>
  <c r="C10" i="28" s="1"/>
  <c r="C184" i="28"/>
  <c r="C21" i="28" s="1"/>
  <c r="C180" i="28"/>
  <c r="C17" i="28" s="1"/>
  <c r="C176" i="28"/>
  <c r="C13" i="28" s="1"/>
  <c r="C172" i="28"/>
  <c r="C9" i="28" s="1"/>
  <c r="C174" i="28"/>
  <c r="C11" i="28" s="1"/>
  <c r="C170" i="28"/>
  <c r="C7" i="28" s="1"/>
  <c r="C168" i="28"/>
  <c r="C171" i="28"/>
  <c r="C8" i="28" s="1"/>
  <c r="C164" i="28"/>
  <c r="C165" i="28" s="1"/>
  <c r="C179" i="28"/>
  <c r="C16" i="28" s="1"/>
  <c r="C183" i="28"/>
  <c r="C20" i="28" s="1"/>
  <c r="C175" i="28"/>
  <c r="C12" i="28" s="1"/>
  <c r="D215" i="28"/>
  <c r="D50" i="28" s="1"/>
  <c r="D48" i="27"/>
  <c r="E232" i="28"/>
  <c r="E60" i="27"/>
  <c r="C231" i="28"/>
  <c r="D161" i="28"/>
  <c r="C78" i="28"/>
  <c r="C79" i="28" s="1"/>
  <c r="B61" i="27"/>
  <c r="C197" i="28" s="1"/>
  <c r="C2" i="28"/>
  <c r="F163" i="28"/>
  <c r="E34" i="28"/>
  <c r="C104" i="20"/>
  <c r="D104" i="20"/>
  <c r="E104" i="20"/>
  <c r="F104" i="20"/>
  <c r="G104" i="20"/>
  <c r="H104" i="20"/>
  <c r="I104" i="20"/>
  <c r="J104" i="20"/>
  <c r="K104" i="20"/>
  <c r="L104" i="20"/>
  <c r="M104" i="20"/>
  <c r="N104" i="20"/>
  <c r="O104" i="20"/>
  <c r="P104" i="20"/>
  <c r="Q104" i="20"/>
  <c r="A112" i="20"/>
  <c r="A113" i="20"/>
  <c r="A115" i="20"/>
  <c r="A116" i="20"/>
  <c r="A119" i="20"/>
  <c r="H28" i="20"/>
  <c r="I28" i="20"/>
  <c r="J28" i="20"/>
  <c r="K28" i="20"/>
  <c r="L28" i="20"/>
  <c r="M28" i="20"/>
  <c r="N28" i="20"/>
  <c r="O28" i="20"/>
  <c r="P28" i="20"/>
  <c r="Q28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D35" i="20"/>
  <c r="C35" i="20"/>
  <c r="C169" i="34" l="1"/>
  <c r="C110" i="34"/>
  <c r="C36" i="34"/>
  <c r="C233" i="34"/>
  <c r="C29" i="34"/>
  <c r="D232" i="34"/>
  <c r="D60" i="33"/>
  <c r="G163" i="34"/>
  <c r="F34" i="34"/>
  <c r="E161" i="34"/>
  <c r="D78" i="34"/>
  <c r="D79" i="34" s="1"/>
  <c r="C61" i="33"/>
  <c r="D2" i="34"/>
  <c r="D162" i="34"/>
  <c r="C30" i="34"/>
  <c r="C199" i="34"/>
  <c r="E215" i="34"/>
  <c r="E50" i="34" s="1"/>
  <c r="E48" i="33"/>
  <c r="D168" i="34"/>
  <c r="C5" i="34"/>
  <c r="E206" i="34"/>
  <c r="E47" i="34" s="1"/>
  <c r="E46" i="33"/>
  <c r="C233" i="32"/>
  <c r="C29" i="32"/>
  <c r="C169" i="32"/>
  <c r="C36" i="32"/>
  <c r="C110" i="32"/>
  <c r="C5" i="32"/>
  <c r="D168" i="32"/>
  <c r="D232" i="32"/>
  <c r="D60" i="31"/>
  <c r="E161" i="32"/>
  <c r="C61" i="31"/>
  <c r="D78" i="32"/>
  <c r="D79" i="32" s="1"/>
  <c r="D2" i="32"/>
  <c r="D162" i="32"/>
  <c r="E215" i="32"/>
  <c r="E50" i="32" s="1"/>
  <c r="E48" i="31"/>
  <c r="E206" i="32"/>
  <c r="E47" i="32" s="1"/>
  <c r="E46" i="31"/>
  <c r="C30" i="32"/>
  <c r="C199" i="32"/>
  <c r="F34" i="32"/>
  <c r="G163" i="32"/>
  <c r="C110" i="30"/>
  <c r="C169" i="30"/>
  <c r="C36" i="30"/>
  <c r="F163" i="30"/>
  <c r="E34" i="30"/>
  <c r="E78" i="30"/>
  <c r="E79" i="30" s="1"/>
  <c r="F161" i="30"/>
  <c r="E2" i="30"/>
  <c r="D61" i="29"/>
  <c r="E162" i="30"/>
  <c r="C231" i="30"/>
  <c r="D102" i="30"/>
  <c r="C233" i="30"/>
  <c r="D233" i="30"/>
  <c r="C29" i="30"/>
  <c r="F232" i="30"/>
  <c r="F60" i="29"/>
  <c r="C30" i="30"/>
  <c r="C199" i="30"/>
  <c r="E206" i="30"/>
  <c r="E46" i="29"/>
  <c r="E48" i="29"/>
  <c r="E215" i="30"/>
  <c r="E50" i="30" s="1"/>
  <c r="D169" i="30"/>
  <c r="D36" i="30"/>
  <c r="D110" i="30"/>
  <c r="D168" i="30"/>
  <c r="C5" i="30"/>
  <c r="E206" i="28"/>
  <c r="E47" i="28" s="1"/>
  <c r="E46" i="27"/>
  <c r="C233" i="28"/>
  <c r="C29" i="28"/>
  <c r="G163" i="28"/>
  <c r="F34" i="28"/>
  <c r="E215" i="28"/>
  <c r="E50" i="28" s="1"/>
  <c r="E48" i="27"/>
  <c r="D168" i="28"/>
  <c r="C5" i="28"/>
  <c r="C110" i="28"/>
  <c r="C169" i="28"/>
  <c r="C36" i="28"/>
  <c r="C30" i="28"/>
  <c r="C199" i="28"/>
  <c r="E161" i="28"/>
  <c r="D78" i="28"/>
  <c r="D79" i="28" s="1"/>
  <c r="D2" i="28"/>
  <c r="C61" i="27"/>
  <c r="D162" i="28"/>
  <c r="F232" i="28"/>
  <c r="F60" i="27"/>
  <c r="B21" i="23"/>
  <c r="B8" i="23"/>
  <c r="C8" i="23" s="1"/>
  <c r="C56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B56" i="23"/>
  <c r="C53" i="23"/>
  <c r="D53" i="23"/>
  <c r="E53" i="23"/>
  <c r="F53" i="23"/>
  <c r="G53" i="23"/>
  <c r="H53" i="23"/>
  <c r="I53" i="23"/>
  <c r="J53" i="23"/>
  <c r="K53" i="23"/>
  <c r="L53" i="23"/>
  <c r="M53" i="23"/>
  <c r="N53" i="23"/>
  <c r="O53" i="23"/>
  <c r="P53" i="23"/>
  <c r="B53" i="23"/>
  <c r="C54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B54" i="23"/>
  <c r="C51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B51" i="23"/>
  <c r="C52" i="23"/>
  <c r="D52" i="23"/>
  <c r="E52" i="23"/>
  <c r="F52" i="23"/>
  <c r="G52" i="23"/>
  <c r="H52" i="23"/>
  <c r="I52" i="23"/>
  <c r="J52" i="23"/>
  <c r="K52" i="23"/>
  <c r="L52" i="23"/>
  <c r="M52" i="23"/>
  <c r="N52" i="23"/>
  <c r="O52" i="23"/>
  <c r="P52" i="23"/>
  <c r="Q52" i="23"/>
  <c r="R52" i="23"/>
  <c r="S52" i="23"/>
  <c r="T52" i="23"/>
  <c r="U52" i="23"/>
  <c r="V52" i="23"/>
  <c r="B52" i="23"/>
  <c r="C50" i="23"/>
  <c r="D50" i="23"/>
  <c r="E50" i="23"/>
  <c r="F50" i="23"/>
  <c r="G50" i="23"/>
  <c r="H50" i="23"/>
  <c r="I50" i="23"/>
  <c r="J50" i="23"/>
  <c r="K50" i="23"/>
  <c r="L50" i="23"/>
  <c r="M50" i="23"/>
  <c r="N50" i="23"/>
  <c r="O50" i="23"/>
  <c r="P50" i="23"/>
  <c r="B50" i="23"/>
  <c r="D163" i="20" s="1"/>
  <c r="C49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B49" i="23"/>
  <c r="C47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B47" i="23"/>
  <c r="E163" i="20" l="1"/>
  <c r="F163" i="20" s="1"/>
  <c r="G163" i="20" s="1"/>
  <c r="H163" i="20" s="1"/>
  <c r="I163" i="20" s="1"/>
  <c r="J163" i="20" s="1"/>
  <c r="K163" i="20" s="1"/>
  <c r="L163" i="20" s="1"/>
  <c r="M163" i="20" s="1"/>
  <c r="N163" i="20" s="1"/>
  <c r="O163" i="20" s="1"/>
  <c r="P163" i="20" s="1"/>
  <c r="Q163" i="20" s="1"/>
  <c r="C161" i="20"/>
  <c r="D161" i="20" s="1"/>
  <c r="E161" i="20" s="1"/>
  <c r="F161" i="20" s="1"/>
  <c r="G161" i="20" s="1"/>
  <c r="C162" i="20"/>
  <c r="D198" i="34"/>
  <c r="D30" i="34" s="1"/>
  <c r="D197" i="34"/>
  <c r="D183" i="34"/>
  <c r="D20" i="34" s="1"/>
  <c r="D179" i="34"/>
  <c r="D16" i="34" s="1"/>
  <c r="D175" i="34"/>
  <c r="D12" i="34" s="1"/>
  <c r="D171" i="34"/>
  <c r="D8" i="34" s="1"/>
  <c r="D181" i="34"/>
  <c r="D18" i="34" s="1"/>
  <c r="D177" i="34"/>
  <c r="D14" i="34" s="1"/>
  <c r="D173" i="34"/>
  <c r="D10" i="34" s="1"/>
  <c r="D184" i="34"/>
  <c r="D21" i="34" s="1"/>
  <c r="D180" i="34"/>
  <c r="D17" i="34" s="1"/>
  <c r="D176" i="34"/>
  <c r="D13" i="34" s="1"/>
  <c r="D174" i="34"/>
  <c r="D11" i="34" s="1"/>
  <c r="D170" i="34"/>
  <c r="D7" i="34" s="1"/>
  <c r="D172" i="34"/>
  <c r="D9" i="34" s="1"/>
  <c r="D182" i="34"/>
  <c r="D19" i="34" s="1"/>
  <c r="D178" i="34"/>
  <c r="D15" i="34" s="1"/>
  <c r="D164" i="34"/>
  <c r="D165" i="34" s="1"/>
  <c r="D102" i="34"/>
  <c r="E232" i="34"/>
  <c r="E60" i="33"/>
  <c r="C6" i="34"/>
  <c r="C186" i="34"/>
  <c r="F206" i="34"/>
  <c r="F47" i="34" s="1"/>
  <c r="F46" i="33"/>
  <c r="E168" i="34"/>
  <c r="D5" i="34"/>
  <c r="C73" i="34"/>
  <c r="C40" i="34"/>
  <c r="F215" i="34"/>
  <c r="F50" i="34" s="1"/>
  <c r="F48" i="33"/>
  <c r="F161" i="34"/>
  <c r="E2" i="34"/>
  <c r="E78" i="34"/>
  <c r="E79" i="34" s="1"/>
  <c r="D61" i="33"/>
  <c r="E162" i="34"/>
  <c r="H163" i="34"/>
  <c r="G34" i="34"/>
  <c r="H163" i="32"/>
  <c r="G34" i="32"/>
  <c r="C73" i="32"/>
  <c r="C40" i="32"/>
  <c r="E78" i="32"/>
  <c r="E79" i="32" s="1"/>
  <c r="F161" i="32"/>
  <c r="E2" i="32"/>
  <c r="D61" i="31"/>
  <c r="E162" i="32"/>
  <c r="E168" i="32"/>
  <c r="D5" i="32"/>
  <c r="D198" i="32"/>
  <c r="D30" i="32" s="1"/>
  <c r="D197" i="32"/>
  <c r="D183" i="32"/>
  <c r="D20" i="32" s="1"/>
  <c r="D179" i="32"/>
  <c r="D16" i="32" s="1"/>
  <c r="D175" i="32"/>
  <c r="D12" i="32" s="1"/>
  <c r="D171" i="32"/>
  <c r="D8" i="32" s="1"/>
  <c r="D181" i="32"/>
  <c r="D18" i="32" s="1"/>
  <c r="D177" i="32"/>
  <c r="D14" i="32" s="1"/>
  <c r="D173" i="32"/>
  <c r="D10" i="32" s="1"/>
  <c r="D184" i="32"/>
  <c r="D21" i="32" s="1"/>
  <c r="D164" i="32"/>
  <c r="D165" i="32" s="1"/>
  <c r="D180" i="32"/>
  <c r="D17" i="32" s="1"/>
  <c r="D176" i="32"/>
  <c r="D13" i="32" s="1"/>
  <c r="D172" i="32"/>
  <c r="D9" i="32" s="1"/>
  <c r="D170" i="32"/>
  <c r="D7" i="32" s="1"/>
  <c r="D182" i="32"/>
  <c r="D19" i="32" s="1"/>
  <c r="D178" i="32"/>
  <c r="D15" i="32" s="1"/>
  <c r="D174" i="32"/>
  <c r="D11" i="32" s="1"/>
  <c r="D102" i="32"/>
  <c r="E232" i="32"/>
  <c r="E60" i="31"/>
  <c r="F206" i="32"/>
  <c r="F47" i="32" s="1"/>
  <c r="F46" i="31"/>
  <c r="C6" i="32"/>
  <c r="C186" i="32"/>
  <c r="F215" i="32"/>
  <c r="F50" i="32" s="1"/>
  <c r="F48" i="31"/>
  <c r="E168" i="30"/>
  <c r="D5" i="30"/>
  <c r="F215" i="30"/>
  <c r="F50" i="30" s="1"/>
  <c r="F48" i="29"/>
  <c r="D231" i="30"/>
  <c r="D108" i="30"/>
  <c r="E102" i="30"/>
  <c r="C73" i="30"/>
  <c r="C40" i="30"/>
  <c r="D186" i="30"/>
  <c r="D6" i="30"/>
  <c r="F206" i="30"/>
  <c r="F46" i="29"/>
  <c r="E61" i="29"/>
  <c r="G161" i="30"/>
  <c r="F78" i="30"/>
  <c r="F79" i="30" s="1"/>
  <c r="F2" i="30"/>
  <c r="F162" i="30"/>
  <c r="C186" i="30"/>
  <c r="C6" i="30"/>
  <c r="D40" i="30"/>
  <c r="D73" i="30"/>
  <c r="E47" i="30"/>
  <c r="G232" i="30"/>
  <c r="G60" i="29"/>
  <c r="D198" i="30"/>
  <c r="D199" i="30" s="1"/>
  <c r="E198" i="30" s="1"/>
  <c r="E30" i="30" s="1"/>
  <c r="E182" i="30"/>
  <c r="E19" i="30" s="1"/>
  <c r="E178" i="30"/>
  <c r="E15" i="30" s="1"/>
  <c r="E174" i="30"/>
  <c r="E11" i="30" s="1"/>
  <c r="E197" i="30"/>
  <c r="E184" i="30"/>
  <c r="E21" i="30" s="1"/>
  <c r="E170" i="30"/>
  <c r="E7" i="30" s="1"/>
  <c r="E164" i="30"/>
  <c r="E165" i="30" s="1"/>
  <c r="E181" i="30"/>
  <c r="E18" i="30" s="1"/>
  <c r="E177" i="30"/>
  <c r="E14" i="30" s="1"/>
  <c r="E173" i="30"/>
  <c r="E10" i="30" s="1"/>
  <c r="E171" i="30"/>
  <c r="E8" i="30" s="1"/>
  <c r="E180" i="30"/>
  <c r="E17" i="30" s="1"/>
  <c r="E176" i="30"/>
  <c r="E13" i="30" s="1"/>
  <c r="E172" i="30"/>
  <c r="E9" i="30" s="1"/>
  <c r="E183" i="30"/>
  <c r="E20" i="30" s="1"/>
  <c r="E179" i="30"/>
  <c r="E16" i="30" s="1"/>
  <c r="E175" i="30"/>
  <c r="E12" i="30" s="1"/>
  <c r="G163" i="30"/>
  <c r="F34" i="30"/>
  <c r="F206" i="28"/>
  <c r="F47" i="28" s="1"/>
  <c r="F46" i="27"/>
  <c r="F161" i="28"/>
  <c r="E78" i="28"/>
  <c r="E79" i="28" s="1"/>
  <c r="E2" i="28"/>
  <c r="D61" i="27"/>
  <c r="E162" i="28"/>
  <c r="F215" i="28"/>
  <c r="F50" i="28" s="1"/>
  <c r="F48" i="27"/>
  <c r="H163" i="28"/>
  <c r="G34" i="28"/>
  <c r="D198" i="28"/>
  <c r="D30" i="28" s="1"/>
  <c r="D197" i="28"/>
  <c r="D181" i="28"/>
  <c r="D18" i="28" s="1"/>
  <c r="D177" i="28"/>
  <c r="D14" i="28" s="1"/>
  <c r="D184" i="28"/>
  <c r="D21" i="28" s="1"/>
  <c r="D180" i="28"/>
  <c r="D17" i="28" s="1"/>
  <c r="D176" i="28"/>
  <c r="D13" i="28" s="1"/>
  <c r="D172" i="28"/>
  <c r="D9" i="28" s="1"/>
  <c r="D183" i="28"/>
  <c r="D20" i="28" s="1"/>
  <c r="D179" i="28"/>
  <c r="D16" i="28" s="1"/>
  <c r="D175" i="28"/>
  <c r="D12" i="28" s="1"/>
  <c r="D171" i="28"/>
  <c r="D8" i="28" s="1"/>
  <c r="D182" i="28"/>
  <c r="D19" i="28" s="1"/>
  <c r="D178" i="28"/>
  <c r="D15" i="28" s="1"/>
  <c r="D173" i="28"/>
  <c r="D10" i="28" s="1"/>
  <c r="D164" i="28"/>
  <c r="D165" i="28" s="1"/>
  <c r="D174" i="28"/>
  <c r="D11" i="28" s="1"/>
  <c r="D170" i="28"/>
  <c r="D7" i="28" s="1"/>
  <c r="D102" i="28"/>
  <c r="G232" i="28"/>
  <c r="G60" i="27"/>
  <c r="C73" i="28"/>
  <c r="C40" i="28"/>
  <c r="C186" i="28"/>
  <c r="C6" i="28"/>
  <c r="E168" i="28"/>
  <c r="D5" i="28"/>
  <c r="D162" i="20" l="1"/>
  <c r="E162" i="20"/>
  <c r="C168" i="20"/>
  <c r="D168" i="20" s="1"/>
  <c r="E168" i="20" s="1"/>
  <c r="F168" i="20" s="1"/>
  <c r="G168" i="20" s="1"/>
  <c r="H168" i="20" s="1"/>
  <c r="I168" i="20" s="1"/>
  <c r="J168" i="20" s="1"/>
  <c r="K168" i="20" s="1"/>
  <c r="L168" i="20" s="1"/>
  <c r="M168" i="20" s="1"/>
  <c r="N168" i="20" s="1"/>
  <c r="O168" i="20" s="1"/>
  <c r="P168" i="20" s="1"/>
  <c r="Q168" i="20" s="1"/>
  <c r="C198" i="20"/>
  <c r="C199" i="20" s="1"/>
  <c r="C164" i="20"/>
  <c r="C165" i="20" s="1"/>
  <c r="C170" i="20"/>
  <c r="F162" i="20"/>
  <c r="F170" i="20" s="1"/>
  <c r="G206" i="34"/>
  <c r="G47" i="34" s="1"/>
  <c r="G46" i="33"/>
  <c r="D169" i="34"/>
  <c r="D36" i="34"/>
  <c r="D110" i="34"/>
  <c r="E61" i="33"/>
  <c r="G161" i="34"/>
  <c r="F2" i="34"/>
  <c r="F78" i="34"/>
  <c r="F79" i="34" s="1"/>
  <c r="F162" i="34"/>
  <c r="G215" i="34"/>
  <c r="G50" i="34" s="1"/>
  <c r="G48" i="33"/>
  <c r="C193" i="34"/>
  <c r="C112" i="34"/>
  <c r="C23" i="34"/>
  <c r="D199" i="34"/>
  <c r="E198" i="34" s="1"/>
  <c r="E30" i="34" s="1"/>
  <c r="I163" i="34"/>
  <c r="H34" i="34"/>
  <c r="F168" i="34"/>
  <c r="E5" i="34"/>
  <c r="D108" i="34"/>
  <c r="E102" i="34"/>
  <c r="D231" i="34"/>
  <c r="E182" i="34"/>
  <c r="E19" i="34" s="1"/>
  <c r="E178" i="34"/>
  <c r="E15" i="34" s="1"/>
  <c r="E174" i="34"/>
  <c r="E11" i="34" s="1"/>
  <c r="E170" i="34"/>
  <c r="E7" i="34" s="1"/>
  <c r="E197" i="34"/>
  <c r="E184" i="34"/>
  <c r="E21" i="34" s="1"/>
  <c r="E180" i="34"/>
  <c r="E17" i="34" s="1"/>
  <c r="E176" i="34"/>
  <c r="E13" i="34" s="1"/>
  <c r="E181" i="34"/>
  <c r="E18" i="34" s="1"/>
  <c r="E177" i="34"/>
  <c r="E14" i="34" s="1"/>
  <c r="E172" i="34"/>
  <c r="E9" i="34" s="1"/>
  <c r="E173" i="34"/>
  <c r="E10" i="34" s="1"/>
  <c r="E183" i="34"/>
  <c r="E20" i="34" s="1"/>
  <c r="E179" i="34"/>
  <c r="E16" i="34" s="1"/>
  <c r="E175" i="34"/>
  <c r="E12" i="34" s="1"/>
  <c r="E171" i="34"/>
  <c r="E8" i="34" s="1"/>
  <c r="E164" i="34"/>
  <c r="E165" i="34" s="1"/>
  <c r="F232" i="34"/>
  <c r="F60" i="33"/>
  <c r="D29" i="34"/>
  <c r="D233" i="34"/>
  <c r="E233" i="34"/>
  <c r="G215" i="32"/>
  <c r="G50" i="32" s="1"/>
  <c r="G48" i="31"/>
  <c r="D29" i="32"/>
  <c r="D233" i="32"/>
  <c r="D199" i="32"/>
  <c r="D231" i="32"/>
  <c r="D108" i="32"/>
  <c r="E102" i="32"/>
  <c r="D169" i="32"/>
  <c r="D110" i="32"/>
  <c r="D36" i="32"/>
  <c r="C193" i="32"/>
  <c r="C112" i="32"/>
  <c r="C23" i="32"/>
  <c r="F168" i="32"/>
  <c r="E5" i="32"/>
  <c r="F232" i="32"/>
  <c r="F60" i="31"/>
  <c r="G206" i="32"/>
  <c r="G47" i="32" s="1"/>
  <c r="G46" i="31"/>
  <c r="E184" i="32"/>
  <c r="E21" i="32" s="1"/>
  <c r="E182" i="32"/>
  <c r="E19" i="32" s="1"/>
  <c r="E178" i="32"/>
  <c r="E15" i="32" s="1"/>
  <c r="E174" i="32"/>
  <c r="E11" i="32" s="1"/>
  <c r="E170" i="32"/>
  <c r="E7" i="32" s="1"/>
  <c r="E180" i="32"/>
  <c r="E17" i="32" s="1"/>
  <c r="E176" i="32"/>
  <c r="E13" i="32" s="1"/>
  <c r="E172" i="32"/>
  <c r="E9" i="32" s="1"/>
  <c r="E197" i="32"/>
  <c r="E181" i="32"/>
  <c r="E18" i="32" s="1"/>
  <c r="E177" i="32"/>
  <c r="E14" i="32" s="1"/>
  <c r="E173" i="32"/>
  <c r="E10" i="32" s="1"/>
  <c r="E164" i="32"/>
  <c r="E165" i="32" s="1"/>
  <c r="E183" i="32"/>
  <c r="E20" i="32" s="1"/>
  <c r="E171" i="32"/>
  <c r="E8" i="32" s="1"/>
  <c r="E198" i="32"/>
  <c r="E30" i="32" s="1"/>
  <c r="E179" i="32"/>
  <c r="E16" i="32" s="1"/>
  <c r="E175" i="32"/>
  <c r="E12" i="32" s="1"/>
  <c r="G161" i="32"/>
  <c r="F78" i="32"/>
  <c r="F79" i="32" s="1"/>
  <c r="E61" i="31"/>
  <c r="F2" i="32"/>
  <c r="F162" i="32"/>
  <c r="I163" i="32"/>
  <c r="H34" i="32"/>
  <c r="D112" i="30"/>
  <c r="D193" i="30"/>
  <c r="D23" i="30"/>
  <c r="E169" i="30"/>
  <c r="E110" i="30"/>
  <c r="E36" i="30"/>
  <c r="E199" i="30"/>
  <c r="F198" i="30" s="1"/>
  <c r="F30" i="30" s="1"/>
  <c r="H232" i="30"/>
  <c r="H60" i="29"/>
  <c r="C193" i="30"/>
  <c r="C23" i="30"/>
  <c r="C112" i="30"/>
  <c r="F197" i="30"/>
  <c r="F29" i="30" s="1"/>
  <c r="F181" i="30"/>
  <c r="F18" i="30" s="1"/>
  <c r="F177" i="30"/>
  <c r="F14" i="30" s="1"/>
  <c r="F173" i="30"/>
  <c r="F10" i="30" s="1"/>
  <c r="F183" i="30"/>
  <c r="F20" i="30" s="1"/>
  <c r="F164" i="30"/>
  <c r="F165" i="30" s="1"/>
  <c r="F184" i="30"/>
  <c r="F21" i="30" s="1"/>
  <c r="F182" i="30"/>
  <c r="F19" i="30" s="1"/>
  <c r="F180" i="30"/>
  <c r="F17" i="30" s="1"/>
  <c r="F178" i="30"/>
  <c r="F15" i="30" s="1"/>
  <c r="F176" i="30"/>
  <c r="F13" i="30" s="1"/>
  <c r="F174" i="30"/>
  <c r="F11" i="30" s="1"/>
  <c r="F172" i="30"/>
  <c r="F9" i="30" s="1"/>
  <c r="F179" i="30"/>
  <c r="F16" i="30" s="1"/>
  <c r="F175" i="30"/>
  <c r="F12" i="30" s="1"/>
  <c r="F170" i="30"/>
  <c r="F7" i="30" s="1"/>
  <c r="F171" i="30"/>
  <c r="F8" i="30" s="1"/>
  <c r="H161" i="30"/>
  <c r="G78" i="30"/>
  <c r="G79" i="30" s="1"/>
  <c r="G2" i="30"/>
  <c r="F61" i="29"/>
  <c r="G162" i="30"/>
  <c r="F47" i="30"/>
  <c r="G215" i="30"/>
  <c r="G50" i="30" s="1"/>
  <c r="G48" i="29"/>
  <c r="E231" i="30"/>
  <c r="F102" i="30"/>
  <c r="E108" i="30"/>
  <c r="H163" i="30"/>
  <c r="G34" i="30"/>
  <c r="E29" i="30"/>
  <c r="E233" i="30"/>
  <c r="D30" i="30"/>
  <c r="G206" i="30"/>
  <c r="G46" i="29"/>
  <c r="F168" i="30"/>
  <c r="E5" i="30"/>
  <c r="G206" i="28"/>
  <c r="G47" i="28" s="1"/>
  <c r="G46" i="27"/>
  <c r="D231" i="28"/>
  <c r="E102" i="28"/>
  <c r="D108" i="28"/>
  <c r="F168" i="28"/>
  <c r="E5" i="28"/>
  <c r="C193" i="28"/>
  <c r="C112" i="28"/>
  <c r="C23" i="28"/>
  <c r="D199" i="28"/>
  <c r="D29" i="28"/>
  <c r="D233" i="28"/>
  <c r="I163" i="28"/>
  <c r="H34" i="28"/>
  <c r="D169" i="28"/>
  <c r="D110" i="28"/>
  <c r="D36" i="28"/>
  <c r="G215" i="28"/>
  <c r="G50" i="28" s="1"/>
  <c r="G48" i="27"/>
  <c r="E184" i="28"/>
  <c r="E21" i="28" s="1"/>
  <c r="E198" i="28"/>
  <c r="E30" i="28" s="1"/>
  <c r="E180" i="28"/>
  <c r="E17" i="28" s="1"/>
  <c r="E176" i="28"/>
  <c r="E13" i="28" s="1"/>
  <c r="E197" i="28"/>
  <c r="E183" i="28"/>
  <c r="E20" i="28" s="1"/>
  <c r="E179" i="28"/>
  <c r="E16" i="28" s="1"/>
  <c r="E175" i="28"/>
  <c r="E12" i="28" s="1"/>
  <c r="E171" i="28"/>
  <c r="E8" i="28" s="1"/>
  <c r="E182" i="28"/>
  <c r="E19" i="28" s="1"/>
  <c r="E178" i="28"/>
  <c r="E15" i="28" s="1"/>
  <c r="E174" i="28"/>
  <c r="E11" i="28" s="1"/>
  <c r="E170" i="28"/>
  <c r="E7" i="28" s="1"/>
  <c r="E173" i="28"/>
  <c r="E10" i="28" s="1"/>
  <c r="E164" i="28"/>
  <c r="E165" i="28" s="1"/>
  <c r="E181" i="28"/>
  <c r="E18" i="28" s="1"/>
  <c r="E177" i="28"/>
  <c r="E14" i="28" s="1"/>
  <c r="E172" i="28"/>
  <c r="E9" i="28" s="1"/>
  <c r="H232" i="28"/>
  <c r="H60" i="27"/>
  <c r="G161" i="28"/>
  <c r="F78" i="28"/>
  <c r="F79" i="28" s="1"/>
  <c r="E61" i="27"/>
  <c r="F2" i="28"/>
  <c r="F162" i="28"/>
  <c r="H161" i="20"/>
  <c r="G162" i="20"/>
  <c r="B55" i="23"/>
  <c r="I55" i="23" s="1"/>
  <c r="F164" i="20" l="1"/>
  <c r="F165" i="20" s="1"/>
  <c r="H55" i="23"/>
  <c r="N55" i="23"/>
  <c r="P55" i="23"/>
  <c r="C55" i="23"/>
  <c r="F55" i="23"/>
  <c r="M55" i="23"/>
  <c r="J55" i="23"/>
  <c r="E55" i="23"/>
  <c r="K55" i="23"/>
  <c r="D55" i="23"/>
  <c r="L55" i="23"/>
  <c r="D170" i="20"/>
  <c r="D164" i="20"/>
  <c r="D165" i="20" s="1"/>
  <c r="D198" i="20"/>
  <c r="D199" i="20" s="1"/>
  <c r="E198" i="20" s="1"/>
  <c r="E199" i="20" s="1"/>
  <c r="F198" i="20" s="1"/>
  <c r="F199" i="20" s="1"/>
  <c r="G55" i="23"/>
  <c r="O55" i="23"/>
  <c r="F233" i="30"/>
  <c r="E164" i="20"/>
  <c r="E165" i="20" s="1"/>
  <c r="E170" i="20"/>
  <c r="E110" i="34"/>
  <c r="E169" i="34"/>
  <c r="E36" i="34"/>
  <c r="J163" i="34"/>
  <c r="I34" i="34"/>
  <c r="D73" i="34"/>
  <c r="D40" i="34"/>
  <c r="G232" i="34"/>
  <c r="G60" i="33"/>
  <c r="E29" i="34"/>
  <c r="H215" i="34"/>
  <c r="H50" i="34" s="1"/>
  <c r="H48" i="33"/>
  <c r="F197" i="34"/>
  <c r="F181" i="34"/>
  <c r="F18" i="34" s="1"/>
  <c r="F177" i="34"/>
  <c r="F14" i="34" s="1"/>
  <c r="F173" i="34"/>
  <c r="F10" i="34" s="1"/>
  <c r="F183" i="34"/>
  <c r="F20" i="34" s="1"/>
  <c r="F179" i="34"/>
  <c r="F16" i="34" s="1"/>
  <c r="F175" i="34"/>
  <c r="F12" i="34" s="1"/>
  <c r="F184" i="34"/>
  <c r="F21" i="34" s="1"/>
  <c r="F180" i="34"/>
  <c r="F17" i="34" s="1"/>
  <c r="F176" i="34"/>
  <c r="F13" i="34" s="1"/>
  <c r="F182" i="34"/>
  <c r="F19" i="34" s="1"/>
  <c r="F178" i="34"/>
  <c r="F15" i="34" s="1"/>
  <c r="F171" i="34"/>
  <c r="F8" i="34" s="1"/>
  <c r="F164" i="34"/>
  <c r="F165" i="34" s="1"/>
  <c r="F174" i="34"/>
  <c r="F11" i="34" s="1"/>
  <c r="F172" i="34"/>
  <c r="F9" i="34" s="1"/>
  <c r="F170" i="34"/>
  <c r="F7" i="34" s="1"/>
  <c r="E231" i="34"/>
  <c r="F102" i="34"/>
  <c r="E108" i="34"/>
  <c r="G168" i="34"/>
  <c r="F5" i="34"/>
  <c r="H206" i="34"/>
  <c r="H47" i="34" s="1"/>
  <c r="H46" i="33"/>
  <c r="E199" i="34"/>
  <c r="F198" i="34" s="1"/>
  <c r="F30" i="34" s="1"/>
  <c r="H161" i="34"/>
  <c r="G78" i="34"/>
  <c r="G79" i="34" s="1"/>
  <c r="G2" i="34"/>
  <c r="F61" i="33"/>
  <c r="G162" i="34"/>
  <c r="D186" i="34"/>
  <c r="D6" i="34"/>
  <c r="G232" i="32"/>
  <c r="G60" i="31"/>
  <c r="J163" i="32"/>
  <c r="I34" i="32"/>
  <c r="F197" i="32"/>
  <c r="F183" i="32"/>
  <c r="F20" i="32" s="1"/>
  <c r="F181" i="32"/>
  <c r="F18" i="32" s="1"/>
  <c r="F177" i="32"/>
  <c r="F14" i="32" s="1"/>
  <c r="F173" i="32"/>
  <c r="F10" i="32" s="1"/>
  <c r="F164" i="32"/>
  <c r="F165" i="32" s="1"/>
  <c r="F184" i="32"/>
  <c r="F21" i="32" s="1"/>
  <c r="F179" i="32"/>
  <c r="F16" i="32" s="1"/>
  <c r="F175" i="32"/>
  <c r="F12" i="32" s="1"/>
  <c r="F180" i="32"/>
  <c r="F17" i="32" s="1"/>
  <c r="F176" i="32"/>
  <c r="F13" i="32" s="1"/>
  <c r="F172" i="32"/>
  <c r="F9" i="32" s="1"/>
  <c r="F182" i="32"/>
  <c r="F19" i="32" s="1"/>
  <c r="F178" i="32"/>
  <c r="F15" i="32" s="1"/>
  <c r="F174" i="32"/>
  <c r="F11" i="32" s="1"/>
  <c r="F170" i="32"/>
  <c r="F7" i="32" s="1"/>
  <c r="F171" i="32"/>
  <c r="F8" i="32" s="1"/>
  <c r="H206" i="32"/>
  <c r="H47" i="32" s="1"/>
  <c r="H46" i="31"/>
  <c r="G168" i="32"/>
  <c r="F5" i="32"/>
  <c r="E233" i="32"/>
  <c r="D186" i="32"/>
  <c r="D6" i="32"/>
  <c r="H215" i="32"/>
  <c r="H50" i="32" s="1"/>
  <c r="H48" i="31"/>
  <c r="H161" i="32"/>
  <c r="G78" i="32"/>
  <c r="G79" i="32" s="1"/>
  <c r="G2" i="32"/>
  <c r="F61" i="31"/>
  <c r="G162" i="32"/>
  <c r="E110" i="32"/>
  <c r="E169" i="32"/>
  <c r="E36" i="32"/>
  <c r="E29" i="32"/>
  <c r="D73" i="32"/>
  <c r="D40" i="32"/>
  <c r="E231" i="32"/>
  <c r="F102" i="32"/>
  <c r="E108" i="32"/>
  <c r="E199" i="32"/>
  <c r="I161" i="30"/>
  <c r="G61" i="29"/>
  <c r="H78" i="30"/>
  <c r="H79" i="30" s="1"/>
  <c r="H2" i="30"/>
  <c r="H162" i="30"/>
  <c r="F199" i="30"/>
  <c r="G198" i="30" s="1"/>
  <c r="G30" i="30" s="1"/>
  <c r="H206" i="30"/>
  <c r="H47" i="30" s="1"/>
  <c r="H46" i="29"/>
  <c r="I163" i="30"/>
  <c r="H34" i="30"/>
  <c r="F231" i="30"/>
  <c r="F108" i="30"/>
  <c r="G102" i="30"/>
  <c r="F110" i="30"/>
  <c r="F36" i="30"/>
  <c r="F169" i="30"/>
  <c r="I232" i="30"/>
  <c r="I60" i="29"/>
  <c r="G47" i="30"/>
  <c r="E186" i="30"/>
  <c r="E6" i="30"/>
  <c r="G168" i="30"/>
  <c r="F5" i="30"/>
  <c r="H215" i="30"/>
  <c r="H50" i="30" s="1"/>
  <c r="H48" i="29"/>
  <c r="G184" i="30"/>
  <c r="G21" i="30" s="1"/>
  <c r="G180" i="30"/>
  <c r="G17" i="30" s="1"/>
  <c r="G176" i="30"/>
  <c r="G13" i="30" s="1"/>
  <c r="G172" i="30"/>
  <c r="G9" i="30" s="1"/>
  <c r="G181" i="30"/>
  <c r="G18" i="30" s="1"/>
  <c r="G177" i="30"/>
  <c r="G14" i="30" s="1"/>
  <c r="G173" i="30"/>
  <c r="G10" i="30" s="1"/>
  <c r="G171" i="30"/>
  <c r="G8" i="30" s="1"/>
  <c r="G183" i="30"/>
  <c r="G20" i="30" s="1"/>
  <c r="G197" i="30"/>
  <c r="G164" i="30"/>
  <c r="G165" i="30" s="1"/>
  <c r="G179" i="30"/>
  <c r="G16" i="30" s="1"/>
  <c r="G175" i="30"/>
  <c r="G12" i="30" s="1"/>
  <c r="G182" i="30"/>
  <c r="G19" i="30" s="1"/>
  <c r="G178" i="30"/>
  <c r="G15" i="30" s="1"/>
  <c r="G174" i="30"/>
  <c r="G11" i="30" s="1"/>
  <c r="G170" i="30"/>
  <c r="G7" i="30" s="1"/>
  <c r="E73" i="30"/>
  <c r="E40" i="30"/>
  <c r="H206" i="28"/>
  <c r="H47" i="28" s="1"/>
  <c r="H46" i="27"/>
  <c r="H215" i="28"/>
  <c r="H50" i="28" s="1"/>
  <c r="H48" i="27"/>
  <c r="E169" i="28"/>
  <c r="E110" i="28"/>
  <c r="E36" i="28"/>
  <c r="J163" i="28"/>
  <c r="I34" i="28"/>
  <c r="E233" i="28"/>
  <c r="E231" i="28"/>
  <c r="E108" i="28"/>
  <c r="F102" i="28"/>
  <c r="H161" i="28"/>
  <c r="G78" i="28"/>
  <c r="G79" i="28" s="1"/>
  <c r="F61" i="27"/>
  <c r="G2" i="28"/>
  <c r="G162" i="28"/>
  <c r="I232" i="28"/>
  <c r="I60" i="27"/>
  <c r="D186" i="28"/>
  <c r="D6" i="28"/>
  <c r="G168" i="28"/>
  <c r="F5" i="28"/>
  <c r="E29" i="28"/>
  <c r="F184" i="28"/>
  <c r="F21" i="28" s="1"/>
  <c r="F197" i="28"/>
  <c r="F183" i="28"/>
  <c r="F20" i="28" s="1"/>
  <c r="F179" i="28"/>
  <c r="F16" i="28" s="1"/>
  <c r="F175" i="28"/>
  <c r="F12" i="28" s="1"/>
  <c r="F182" i="28"/>
  <c r="F19" i="28" s="1"/>
  <c r="F178" i="28"/>
  <c r="F15" i="28" s="1"/>
  <c r="F174" i="28"/>
  <c r="F11" i="28" s="1"/>
  <c r="F170" i="28"/>
  <c r="F7" i="28" s="1"/>
  <c r="F181" i="28"/>
  <c r="F18" i="28" s="1"/>
  <c r="F177" i="28"/>
  <c r="F14" i="28" s="1"/>
  <c r="F173" i="28"/>
  <c r="F10" i="28" s="1"/>
  <c r="F172" i="28"/>
  <c r="F9" i="28" s="1"/>
  <c r="F180" i="28"/>
  <c r="F17" i="28" s="1"/>
  <c r="F176" i="28"/>
  <c r="F13" i="28" s="1"/>
  <c r="F171" i="28"/>
  <c r="F8" i="28" s="1"/>
  <c r="F164" i="28"/>
  <c r="F165" i="28" s="1"/>
  <c r="D73" i="28"/>
  <c r="D40" i="28"/>
  <c r="E199" i="28"/>
  <c r="F198" i="28" s="1"/>
  <c r="F30" i="28" s="1"/>
  <c r="G164" i="20"/>
  <c r="G165" i="20" s="1"/>
  <c r="G170" i="20"/>
  <c r="H162" i="20"/>
  <c r="I161" i="20"/>
  <c r="C28" i="26"/>
  <c r="C38" i="26" s="1"/>
  <c r="C48" i="26" s="1"/>
  <c r="C58" i="26" s="1"/>
  <c r="C68" i="26" s="1"/>
  <c r="C78" i="26" s="1"/>
  <c r="C88" i="26" s="1"/>
  <c r="C98" i="26" s="1"/>
  <c r="C108" i="26" s="1"/>
  <c r="C118" i="26" s="1"/>
  <c r="C128" i="26" s="1"/>
  <c r="C138" i="26" s="1"/>
  <c r="C148" i="26" s="1"/>
  <c r="C8" i="26"/>
  <c r="C206" i="20"/>
  <c r="G5" i="26" s="1"/>
  <c r="C9" i="26"/>
  <c r="C10" i="26"/>
  <c r="F11" i="26"/>
  <c r="D27" i="26"/>
  <c r="D37" i="26" s="1"/>
  <c r="D47" i="26" s="1"/>
  <c r="D57" i="26" s="1"/>
  <c r="D67" i="26" s="1"/>
  <c r="D77" i="26" s="1"/>
  <c r="D87" i="26" s="1"/>
  <c r="D97" i="26" s="1"/>
  <c r="D107" i="26" s="1"/>
  <c r="D117" i="26" s="1"/>
  <c r="D127" i="26" s="1"/>
  <c r="D137" i="26" s="1"/>
  <c r="D147" i="26" s="1"/>
  <c r="E2" i="25"/>
  <c r="E12" i="25"/>
  <c r="E10" i="25"/>
  <c r="E8" i="25"/>
  <c r="E7" i="25"/>
  <c r="E6" i="25"/>
  <c r="E5" i="25"/>
  <c r="E4" i="25"/>
  <c r="E3" i="25"/>
  <c r="E1" i="25"/>
  <c r="K5" i="23"/>
  <c r="K7" i="23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C22" i="20"/>
  <c r="C34" i="20"/>
  <c r="B66" i="23"/>
  <c r="B67" i="23"/>
  <c r="C60" i="23"/>
  <c r="D232" i="20" s="1"/>
  <c r="B48" i="23"/>
  <c r="C46" i="23"/>
  <c r="D206" i="20" s="1"/>
  <c r="G15" i="26" s="1"/>
  <c r="K20" i="23"/>
  <c r="B173" i="20" s="1"/>
  <c r="C173" i="20" s="1"/>
  <c r="K18" i="23"/>
  <c r="B171" i="20" s="1"/>
  <c r="C171" i="20" s="1"/>
  <c r="K19" i="23"/>
  <c r="B172" i="20" s="1"/>
  <c r="C172" i="20" s="1"/>
  <c r="K26" i="23"/>
  <c r="B179" i="20" s="1"/>
  <c r="C179" i="20" s="1"/>
  <c r="K31" i="23"/>
  <c r="B184" i="20" s="1"/>
  <c r="C184" i="20" s="1"/>
  <c r="K30" i="23"/>
  <c r="B183" i="20" s="1"/>
  <c r="C183" i="20" s="1"/>
  <c r="K29" i="23"/>
  <c r="B182" i="20" s="1"/>
  <c r="C182" i="20" s="1"/>
  <c r="K28" i="23"/>
  <c r="B181" i="20" s="1"/>
  <c r="C181" i="20" s="1"/>
  <c r="K27" i="23"/>
  <c r="B180" i="20" s="1"/>
  <c r="C180" i="20" s="1"/>
  <c r="K25" i="23"/>
  <c r="B178" i="20" s="1"/>
  <c r="C178" i="20" s="1"/>
  <c r="K23" i="23"/>
  <c r="B176" i="20" s="1"/>
  <c r="C176" i="20" s="1"/>
  <c r="K22" i="23"/>
  <c r="B175" i="20" s="1"/>
  <c r="C175" i="20" s="1"/>
  <c r="K21" i="23"/>
  <c r="B174" i="20" s="1"/>
  <c r="C174" i="20" s="1"/>
  <c r="K24" i="23"/>
  <c r="B177" i="20" s="1"/>
  <c r="C177" i="20" s="1"/>
  <c r="K17" i="23"/>
  <c r="C3" i="26"/>
  <c r="C59" i="23"/>
  <c r="D59" i="23" s="1"/>
  <c r="E59" i="23" s="1"/>
  <c r="F59" i="23" s="1"/>
  <c r="G59" i="23" s="1"/>
  <c r="H59" i="23" s="1"/>
  <c r="I59" i="23" s="1"/>
  <c r="J59" i="23" s="1"/>
  <c r="K59" i="23" s="1"/>
  <c r="L59" i="23" s="1"/>
  <c r="M59" i="23" s="1"/>
  <c r="N59" i="23" s="1"/>
  <c r="O59" i="23" s="1"/>
  <c r="P59" i="23" s="1"/>
  <c r="B27" i="23"/>
  <c r="C27" i="26"/>
  <c r="C37" i="26" s="1"/>
  <c r="C47" i="26" s="1"/>
  <c r="C57" i="26" s="1"/>
  <c r="C67" i="26" s="1"/>
  <c r="C77" i="26" s="1"/>
  <c r="C87" i="26" s="1"/>
  <c r="C97" i="26" s="1"/>
  <c r="C107" i="26" s="1"/>
  <c r="C117" i="26" s="1"/>
  <c r="C127" i="26" s="1"/>
  <c r="C137" i="26" s="1"/>
  <c r="C147" i="26" s="1"/>
  <c r="F17" i="26"/>
  <c r="F27" i="26" s="1"/>
  <c r="F37" i="26" s="1"/>
  <c r="F47" i="26" s="1"/>
  <c r="F57" i="26" s="1"/>
  <c r="F67" i="26" s="1"/>
  <c r="F77" i="26" s="1"/>
  <c r="F87" i="26" s="1"/>
  <c r="F97" i="26" s="1"/>
  <c r="F107" i="26" s="1"/>
  <c r="F117" i="26" s="1"/>
  <c r="F127" i="26" s="1"/>
  <c r="F137" i="26" s="1"/>
  <c r="F147" i="26" s="1"/>
  <c r="D28" i="26"/>
  <c r="D38" i="26" s="1"/>
  <c r="D48" i="26" s="1"/>
  <c r="D58" i="26"/>
  <c r="D68" i="26" s="1"/>
  <c r="D78" i="26" s="1"/>
  <c r="D88" i="26" s="1"/>
  <c r="D98" i="26" s="1"/>
  <c r="D108" i="26" s="1"/>
  <c r="D118" i="26" s="1"/>
  <c r="D128" i="26" s="1"/>
  <c r="D138" i="26" s="1"/>
  <c r="D148" i="26" s="1"/>
  <c r="F18" i="26"/>
  <c r="F28" i="26" s="1"/>
  <c r="F38" i="26" s="1"/>
  <c r="F48" i="26" s="1"/>
  <c r="F58" i="26" s="1"/>
  <c r="F68" i="26" s="1"/>
  <c r="F78" i="26" s="1"/>
  <c r="F88" i="26" s="1"/>
  <c r="F98" i="26" s="1"/>
  <c r="F108" i="26" s="1"/>
  <c r="F118" i="26" s="1"/>
  <c r="F128" i="26" s="1"/>
  <c r="F138" i="26" s="1"/>
  <c r="F148" i="26" s="1"/>
  <c r="C29" i="26"/>
  <c r="C39" i="26" s="1"/>
  <c r="C49" i="26" s="1"/>
  <c r="C59" i="26" s="1"/>
  <c r="C69" i="26" s="1"/>
  <c r="C79" i="26" s="1"/>
  <c r="C89" i="26" s="1"/>
  <c r="C99" i="26" s="1"/>
  <c r="C109" i="26" s="1"/>
  <c r="C119" i="26" s="1"/>
  <c r="C129" i="26" s="1"/>
  <c r="C139" i="26" s="1"/>
  <c r="C149" i="26" s="1"/>
  <c r="D29" i="26"/>
  <c r="D39" i="26" s="1"/>
  <c r="D49" i="26" s="1"/>
  <c r="D59" i="26" s="1"/>
  <c r="D69" i="26" s="1"/>
  <c r="D79" i="26" s="1"/>
  <c r="D89" i="26" s="1"/>
  <c r="D99" i="26" s="1"/>
  <c r="D109" i="26" s="1"/>
  <c r="D119" i="26" s="1"/>
  <c r="D129" i="26" s="1"/>
  <c r="D139" i="26" s="1"/>
  <c r="D149" i="26" s="1"/>
  <c r="F19" i="26"/>
  <c r="F29" i="26" s="1"/>
  <c r="F39" i="26" s="1"/>
  <c r="F49" i="26" s="1"/>
  <c r="F59" i="26" s="1"/>
  <c r="F69" i="26" s="1"/>
  <c r="F79" i="26" s="1"/>
  <c r="F89" i="26" s="1"/>
  <c r="F99" i="26" s="1"/>
  <c r="F109" i="26" s="1"/>
  <c r="F119" i="26" s="1"/>
  <c r="F129" i="26" s="1"/>
  <c r="F139" i="26" s="1"/>
  <c r="F149" i="26" s="1"/>
  <c r="C30" i="26"/>
  <c r="C40" i="26" s="1"/>
  <c r="C50" i="26" s="1"/>
  <c r="C60" i="26" s="1"/>
  <c r="C70" i="26" s="1"/>
  <c r="C80" i="26" s="1"/>
  <c r="C90" i="26" s="1"/>
  <c r="C100" i="26" s="1"/>
  <c r="C110" i="26" s="1"/>
  <c r="C120" i="26" s="1"/>
  <c r="C130" i="26" s="1"/>
  <c r="C140" i="26" s="1"/>
  <c r="C150" i="26" s="1"/>
  <c r="F20" i="26"/>
  <c r="F16" i="26"/>
  <c r="F26" i="26" s="1"/>
  <c r="F36" i="26" s="1"/>
  <c r="F46" i="26" s="1"/>
  <c r="F56" i="26" s="1"/>
  <c r="F66" i="26" s="1"/>
  <c r="F76" i="26" s="1"/>
  <c r="F86" i="26" s="1"/>
  <c r="F96" i="26" s="1"/>
  <c r="F106" i="26" s="1"/>
  <c r="F116" i="26" s="1"/>
  <c r="F126" i="26" s="1"/>
  <c r="F136" i="26" s="1"/>
  <c r="F146" i="26" s="1"/>
  <c r="D26" i="26"/>
  <c r="D36" i="26" s="1"/>
  <c r="D46" i="26" s="1"/>
  <c r="D56" i="26" s="1"/>
  <c r="D66" i="26" s="1"/>
  <c r="D76" i="26" s="1"/>
  <c r="D86" i="26" s="1"/>
  <c r="D96" i="26" s="1"/>
  <c r="D106" i="26" s="1"/>
  <c r="D116" i="26" s="1"/>
  <c r="D126" i="26" s="1"/>
  <c r="D136" i="26" s="1"/>
  <c r="D146" i="26" s="1"/>
  <c r="E3" i="26"/>
  <c r="E26" i="26"/>
  <c r="E36" i="26" s="1"/>
  <c r="E46" i="26" s="1"/>
  <c r="E56" i="26" s="1"/>
  <c r="E66" i="26" s="1"/>
  <c r="E76" i="26" s="1"/>
  <c r="E86" i="26" s="1"/>
  <c r="E96" i="26" s="1"/>
  <c r="E106" i="26" s="1"/>
  <c r="E116" i="26" s="1"/>
  <c r="E126" i="26" s="1"/>
  <c r="E136" i="26" s="1"/>
  <c r="E146" i="26" s="1"/>
  <c r="E27" i="26"/>
  <c r="E28" i="26"/>
  <c r="E38" i="26" s="1"/>
  <c r="E48" i="26" s="1"/>
  <c r="E58" i="26" s="1"/>
  <c r="E68" i="26" s="1"/>
  <c r="E78" i="26" s="1"/>
  <c r="E88" i="26" s="1"/>
  <c r="E98" i="26" s="1"/>
  <c r="E108" i="26" s="1"/>
  <c r="E118" i="26" s="1"/>
  <c r="E128" i="26" s="1"/>
  <c r="E138" i="26" s="1"/>
  <c r="E148" i="26" s="1"/>
  <c r="E29" i="26"/>
  <c r="E39" i="26" s="1"/>
  <c r="E49" i="26" s="1"/>
  <c r="E59" i="26" s="1"/>
  <c r="E69" i="26" s="1"/>
  <c r="E79" i="26" s="1"/>
  <c r="E89" i="26" s="1"/>
  <c r="E99" i="26" s="1"/>
  <c r="E109" i="26" s="1"/>
  <c r="E119" i="26" s="1"/>
  <c r="E129" i="26" s="1"/>
  <c r="E139" i="26" s="1"/>
  <c r="E149" i="26" s="1"/>
  <c r="E30" i="26"/>
  <c r="E35" i="26"/>
  <c r="E45" i="26" s="1"/>
  <c r="E55" i="26" s="1"/>
  <c r="E65" i="26" s="1"/>
  <c r="E75" i="26" s="1"/>
  <c r="E85" i="26" s="1"/>
  <c r="E95" i="26" s="1"/>
  <c r="E105" i="26" s="1"/>
  <c r="E115" i="26" s="1"/>
  <c r="E125" i="26" s="1"/>
  <c r="E135" i="26" s="1"/>
  <c r="E145" i="26" s="1"/>
  <c r="E37" i="26"/>
  <c r="E47" i="26" s="1"/>
  <c r="E57" i="26" s="1"/>
  <c r="E67" i="26" s="1"/>
  <c r="E77" i="26" s="1"/>
  <c r="E87" i="26" s="1"/>
  <c r="E97" i="26" s="1"/>
  <c r="E107" i="26" s="1"/>
  <c r="E117" i="26" s="1"/>
  <c r="E127" i="26" s="1"/>
  <c r="E137" i="26" s="1"/>
  <c r="E147" i="26" s="1"/>
  <c r="E40" i="26"/>
  <c r="E50" i="26" s="1"/>
  <c r="E60" i="26" s="1"/>
  <c r="E70" i="26" s="1"/>
  <c r="E80" i="26" s="1"/>
  <c r="E90" i="26" s="1"/>
  <c r="E100" i="26" s="1"/>
  <c r="E110" i="26" s="1"/>
  <c r="E120" i="26" s="1"/>
  <c r="E130" i="26" s="1"/>
  <c r="E140" i="26" s="1"/>
  <c r="E150" i="26" s="1"/>
  <c r="F30" i="26"/>
  <c r="F40" i="26" s="1"/>
  <c r="F50" i="26" s="1"/>
  <c r="F60" i="26" s="1"/>
  <c r="F70" i="26" s="1"/>
  <c r="F80" i="26" s="1"/>
  <c r="F90" i="26" s="1"/>
  <c r="F100" i="26" s="1"/>
  <c r="F110" i="26" s="1"/>
  <c r="F120" i="26" s="1"/>
  <c r="F130" i="26" s="1"/>
  <c r="F140" i="26" s="1"/>
  <c r="F150" i="26" s="1"/>
  <c r="F32" i="26"/>
  <c r="F42" i="26" s="1"/>
  <c r="F52" i="26" s="1"/>
  <c r="F62" i="26" s="1"/>
  <c r="F72" i="26" s="1"/>
  <c r="F82" i="26" s="1"/>
  <c r="F92" i="26" s="1"/>
  <c r="F102" i="26" s="1"/>
  <c r="F112" i="26" s="1"/>
  <c r="F122" i="26" s="1"/>
  <c r="F132" i="26" s="1"/>
  <c r="F142" i="26" s="1"/>
  <c r="F152" i="26" s="1"/>
  <c r="H144" i="26"/>
  <c r="F31" i="26"/>
  <c r="F41" i="26" s="1"/>
  <c r="F51" i="26" s="1"/>
  <c r="F61" i="26" s="1"/>
  <c r="F71" i="26" s="1"/>
  <c r="F81" i="26" s="1"/>
  <c r="F91" i="26" s="1"/>
  <c r="F101" i="26" s="1"/>
  <c r="F111" i="26" s="1"/>
  <c r="F121" i="26" s="1"/>
  <c r="F131" i="26" s="1"/>
  <c r="F141" i="26" s="1"/>
  <c r="F151" i="26" s="1"/>
  <c r="H134" i="26"/>
  <c r="H124" i="26"/>
  <c r="H114" i="26"/>
  <c r="H104" i="26"/>
  <c r="H94" i="26"/>
  <c r="H84" i="26"/>
  <c r="H74" i="26"/>
  <c r="H64" i="26"/>
  <c r="H54" i="26"/>
  <c r="H44" i="26"/>
  <c r="H34" i="26"/>
  <c r="H24" i="26"/>
  <c r="H4" i="26"/>
  <c r="H14" i="26"/>
  <c r="B32" i="26"/>
  <c r="B42" i="26" s="1"/>
  <c r="B52" i="26" s="1"/>
  <c r="B62" i="26" s="1"/>
  <c r="B72" i="26" s="1"/>
  <c r="B82" i="26" s="1"/>
  <c r="B92" i="26" s="1"/>
  <c r="B102" i="26" s="1"/>
  <c r="B112" i="26" s="1"/>
  <c r="B122" i="26" s="1"/>
  <c r="B132" i="26" s="1"/>
  <c r="B142" i="26" s="1"/>
  <c r="B152" i="26" s="1"/>
  <c r="B31" i="26"/>
  <c r="B41" i="26" s="1"/>
  <c r="B51" i="26" s="1"/>
  <c r="B61" i="26" s="1"/>
  <c r="B71" i="26" s="1"/>
  <c r="B81" i="26" s="1"/>
  <c r="B91" i="26" s="1"/>
  <c r="B101" i="26" s="1"/>
  <c r="B111" i="26" s="1"/>
  <c r="B121" i="26" s="1"/>
  <c r="B131" i="26" s="1"/>
  <c r="B141" i="26" s="1"/>
  <c r="B151" i="26" s="1"/>
  <c r="C26" i="26"/>
  <c r="C36" i="26" s="1"/>
  <c r="C46" i="26" s="1"/>
  <c r="C56" i="26" s="1"/>
  <c r="C66" i="26" s="1"/>
  <c r="C76" i="26" s="1"/>
  <c r="C86" i="26" s="1"/>
  <c r="C96" i="26" s="1"/>
  <c r="C106" i="26" s="1"/>
  <c r="C116" i="26" s="1"/>
  <c r="C126" i="26" s="1"/>
  <c r="C136" i="26" s="1"/>
  <c r="C146" i="26" s="1"/>
  <c r="D30" i="26"/>
  <c r="D40" i="26" s="1"/>
  <c r="D50" i="26" s="1"/>
  <c r="D60" i="26" s="1"/>
  <c r="D70" i="26" s="1"/>
  <c r="D80" i="26" s="1"/>
  <c r="D90" i="26" s="1"/>
  <c r="D100" i="26" s="1"/>
  <c r="D110" i="26" s="1"/>
  <c r="D120" i="26" s="1"/>
  <c r="D130" i="26" s="1"/>
  <c r="D140" i="26" s="1"/>
  <c r="D150" i="26" s="1"/>
  <c r="D35" i="26"/>
  <c r="D45" i="26" s="1"/>
  <c r="D55" i="26" s="1"/>
  <c r="D65" i="26" s="1"/>
  <c r="D75" i="26" s="1"/>
  <c r="D85" i="26" s="1"/>
  <c r="D95" i="26" s="1"/>
  <c r="D105" i="26" s="1"/>
  <c r="D115" i="26" s="1"/>
  <c r="D125" i="26" s="1"/>
  <c r="D135" i="26" s="1"/>
  <c r="D145" i="26" s="1"/>
  <c r="F35" i="26"/>
  <c r="F45" i="26" s="1"/>
  <c r="F55" i="26" s="1"/>
  <c r="F65" i="26" s="1"/>
  <c r="F75" i="26" s="1"/>
  <c r="F85" i="26" s="1"/>
  <c r="F95" i="26" s="1"/>
  <c r="F105" i="26" s="1"/>
  <c r="F115" i="26" s="1"/>
  <c r="F125" i="26" s="1"/>
  <c r="F135" i="26" s="1"/>
  <c r="F145" i="26" s="1"/>
  <c r="C35" i="26"/>
  <c r="C45" i="26" s="1"/>
  <c r="C55" i="26" s="1"/>
  <c r="C65" i="26" s="1"/>
  <c r="C75" i="26" s="1"/>
  <c r="C85" i="26" s="1"/>
  <c r="C95" i="26" s="1"/>
  <c r="C105" i="26" s="1"/>
  <c r="C115" i="26" s="1"/>
  <c r="C125" i="26" s="1"/>
  <c r="C135" i="26" s="1"/>
  <c r="C145" i="26" s="1"/>
  <c r="B44" i="26"/>
  <c r="B54" i="26" s="1"/>
  <c r="B64" i="26" s="1"/>
  <c r="B74" i="26" s="1"/>
  <c r="B84" i="26" s="1"/>
  <c r="B94" i="26" s="1"/>
  <c r="B104" i="26" s="1"/>
  <c r="B114" i="26" s="1"/>
  <c r="B124" i="26" s="1"/>
  <c r="B134" i="26" s="1"/>
  <c r="B144" i="26" s="1"/>
  <c r="F12" i="26"/>
  <c r="B12" i="26"/>
  <c r="B11" i="26"/>
  <c r="B14" i="26"/>
  <c r="B24" i="26" s="1"/>
  <c r="A31" i="20"/>
  <c r="A30" i="20"/>
  <c r="A29" i="20"/>
  <c r="A25" i="20"/>
  <c r="A23" i="20"/>
  <c r="A7" i="20"/>
  <c r="A36" i="20"/>
  <c r="A35" i="20"/>
  <c r="A5" i="20"/>
  <c r="A67" i="20"/>
  <c r="A34" i="20"/>
  <c r="A4" i="20"/>
  <c r="C47" i="20" l="1"/>
  <c r="B1" i="25"/>
  <c r="F13" i="23" s="1"/>
  <c r="B14" i="23" s="1"/>
  <c r="C103" i="20" s="1"/>
  <c r="D103" i="20" s="1"/>
  <c r="D173" i="20"/>
  <c r="E173" i="20" s="1"/>
  <c r="F173" i="20" s="1"/>
  <c r="G173" i="20" s="1"/>
  <c r="H173" i="20" s="1"/>
  <c r="D184" i="20"/>
  <c r="E184" i="20" s="1"/>
  <c r="F184" i="20" s="1"/>
  <c r="G184" i="20" s="1"/>
  <c r="H184" i="20" s="1"/>
  <c r="D177" i="20"/>
  <c r="E177" i="20" s="1"/>
  <c r="F177" i="20" s="1"/>
  <c r="G177" i="20" s="1"/>
  <c r="H177" i="20" s="1"/>
  <c r="D174" i="20"/>
  <c r="E174" i="20" s="1"/>
  <c r="F174" i="20" s="1"/>
  <c r="G174" i="20" s="1"/>
  <c r="H174" i="20" s="1"/>
  <c r="G198" i="20"/>
  <c r="G199" i="20" s="1"/>
  <c r="H198" i="20" s="1"/>
  <c r="H199" i="20" s="1"/>
  <c r="D181" i="20"/>
  <c r="E181" i="20" s="1"/>
  <c r="F181" i="20" s="1"/>
  <c r="G181" i="20" s="1"/>
  <c r="H181" i="20" s="1"/>
  <c r="D171" i="20"/>
  <c r="E171" i="20" s="1"/>
  <c r="F171" i="20" s="1"/>
  <c r="G171" i="20" s="1"/>
  <c r="H171" i="20" s="1"/>
  <c r="B197" i="34"/>
  <c r="B197" i="28"/>
  <c r="B197" i="32"/>
  <c r="B197" i="30"/>
  <c r="B197" i="20"/>
  <c r="D180" i="20"/>
  <c r="E180" i="20" s="1"/>
  <c r="F180" i="20" s="1"/>
  <c r="G180" i="20" s="1"/>
  <c r="H180" i="20" s="1"/>
  <c r="D176" i="20"/>
  <c r="E176" i="20" s="1"/>
  <c r="F176" i="20" s="1"/>
  <c r="G176" i="20" s="1"/>
  <c r="C48" i="23"/>
  <c r="D215" i="20" s="1"/>
  <c r="I15" i="26" s="1"/>
  <c r="C215" i="20"/>
  <c r="D172" i="20"/>
  <c r="E172" i="20" s="1"/>
  <c r="F172" i="20" s="1"/>
  <c r="G172" i="20" s="1"/>
  <c r="H172" i="20" s="1"/>
  <c r="D175" i="20"/>
  <c r="E175" i="20" s="1"/>
  <c r="F175" i="20" s="1"/>
  <c r="G175" i="20" s="1"/>
  <c r="H175" i="20" s="1"/>
  <c r="E58" i="23"/>
  <c r="F169" i="20" s="1"/>
  <c r="M58" i="23"/>
  <c r="D58" i="23"/>
  <c r="E169" i="20" s="1"/>
  <c r="F58" i="23"/>
  <c r="G169" i="20" s="1"/>
  <c r="N58" i="23"/>
  <c r="I58" i="23"/>
  <c r="B58" i="23"/>
  <c r="B169" i="20" s="1"/>
  <c r="C169" i="20" s="1"/>
  <c r="C186" i="20" s="1"/>
  <c r="L58" i="23"/>
  <c r="G58" i="23"/>
  <c r="O58" i="23"/>
  <c r="H58" i="23"/>
  <c r="P58" i="23"/>
  <c r="J58" i="23"/>
  <c r="C58" i="23"/>
  <c r="D169" i="20" s="1"/>
  <c r="K58" i="23"/>
  <c r="F13" i="27"/>
  <c r="D183" i="20"/>
  <c r="E183" i="20" s="1"/>
  <c r="F183" i="20" s="1"/>
  <c r="G183" i="20" s="1"/>
  <c r="H183" i="20" s="1"/>
  <c r="D179" i="20"/>
  <c r="E179" i="20" s="1"/>
  <c r="F179" i="20" s="1"/>
  <c r="G179" i="20" s="1"/>
  <c r="H179" i="20" s="1"/>
  <c r="D178" i="20"/>
  <c r="E178" i="20" s="1"/>
  <c r="F178" i="20" s="1"/>
  <c r="G178" i="20" s="1"/>
  <c r="H178" i="20" s="1"/>
  <c r="D182" i="20"/>
  <c r="E182" i="20" s="1"/>
  <c r="F182" i="20" s="1"/>
  <c r="G182" i="20" s="1"/>
  <c r="H182" i="20" s="1"/>
  <c r="D193" i="34"/>
  <c r="D112" i="34"/>
  <c r="D23" i="34"/>
  <c r="G5" i="34"/>
  <c r="H168" i="34"/>
  <c r="K163" i="34"/>
  <c r="J34" i="34"/>
  <c r="I206" i="34"/>
  <c r="I47" i="34" s="1"/>
  <c r="I46" i="33"/>
  <c r="E186" i="34"/>
  <c r="E6" i="34"/>
  <c r="G184" i="34"/>
  <c r="G21" i="34" s="1"/>
  <c r="G180" i="34"/>
  <c r="G17" i="34" s="1"/>
  <c r="G176" i="34"/>
  <c r="G13" i="34" s="1"/>
  <c r="G172" i="34"/>
  <c r="G9" i="34" s="1"/>
  <c r="G182" i="34"/>
  <c r="G19" i="34" s="1"/>
  <c r="G178" i="34"/>
  <c r="G15" i="34" s="1"/>
  <c r="G197" i="34"/>
  <c r="G183" i="34"/>
  <c r="G20" i="34" s="1"/>
  <c r="G179" i="34"/>
  <c r="G16" i="34" s="1"/>
  <c r="G175" i="34"/>
  <c r="G12" i="34" s="1"/>
  <c r="G174" i="34"/>
  <c r="G11" i="34" s="1"/>
  <c r="G173" i="34"/>
  <c r="G10" i="34" s="1"/>
  <c r="G171" i="34"/>
  <c r="G8" i="34" s="1"/>
  <c r="G164" i="34"/>
  <c r="G165" i="34" s="1"/>
  <c r="G181" i="34"/>
  <c r="G18" i="34" s="1"/>
  <c r="G177" i="34"/>
  <c r="G14" i="34" s="1"/>
  <c r="G170" i="34"/>
  <c r="G7" i="34" s="1"/>
  <c r="F199" i="34"/>
  <c r="G198" i="34" s="1"/>
  <c r="G30" i="34" s="1"/>
  <c r="I215" i="34"/>
  <c r="I50" i="34" s="1"/>
  <c r="I48" i="33"/>
  <c r="F36" i="34"/>
  <c r="F169" i="34"/>
  <c r="F110" i="34"/>
  <c r="H232" i="34"/>
  <c r="H60" i="33"/>
  <c r="H78" i="34"/>
  <c r="H79" i="34" s="1"/>
  <c r="I161" i="34"/>
  <c r="G61" i="33"/>
  <c r="H162" i="34"/>
  <c r="H2" i="34"/>
  <c r="F231" i="34"/>
  <c r="F108" i="34"/>
  <c r="G102" i="34"/>
  <c r="F29" i="34"/>
  <c r="F233" i="34"/>
  <c r="E73" i="34"/>
  <c r="E40" i="34"/>
  <c r="I215" i="32"/>
  <c r="I50" i="32" s="1"/>
  <c r="I48" i="31"/>
  <c r="D193" i="32"/>
  <c r="D112" i="32"/>
  <c r="D23" i="32"/>
  <c r="H168" i="32"/>
  <c r="G5" i="32"/>
  <c r="F29" i="32"/>
  <c r="H232" i="32"/>
  <c r="H60" i="31"/>
  <c r="F198" i="32"/>
  <c r="F30" i="32" s="1"/>
  <c r="F231" i="32"/>
  <c r="F108" i="32"/>
  <c r="G102" i="32"/>
  <c r="E40" i="32"/>
  <c r="E73" i="32"/>
  <c r="G197" i="32"/>
  <c r="G184" i="32"/>
  <c r="G21" i="32" s="1"/>
  <c r="G180" i="32"/>
  <c r="G17" i="32" s="1"/>
  <c r="G176" i="32"/>
  <c r="G13" i="32" s="1"/>
  <c r="G172" i="32"/>
  <c r="G9" i="32" s="1"/>
  <c r="G182" i="32"/>
  <c r="G19" i="32" s="1"/>
  <c r="G178" i="32"/>
  <c r="G15" i="32" s="1"/>
  <c r="G174" i="32"/>
  <c r="G11" i="32" s="1"/>
  <c r="G179" i="32"/>
  <c r="G16" i="32" s="1"/>
  <c r="G175" i="32"/>
  <c r="G12" i="32" s="1"/>
  <c r="G171" i="32"/>
  <c r="G8" i="32" s="1"/>
  <c r="G170" i="32"/>
  <c r="G7" i="32" s="1"/>
  <c r="G181" i="32"/>
  <c r="G18" i="32" s="1"/>
  <c r="G177" i="32"/>
  <c r="G14" i="32" s="1"/>
  <c r="G173" i="32"/>
  <c r="G10" i="32" s="1"/>
  <c r="G164" i="32"/>
  <c r="G165" i="32" s="1"/>
  <c r="G183" i="32"/>
  <c r="G20" i="32" s="1"/>
  <c r="I206" i="32"/>
  <c r="I47" i="32" s="1"/>
  <c r="I46" i="31"/>
  <c r="F233" i="32"/>
  <c r="E186" i="32"/>
  <c r="E6" i="32"/>
  <c r="I161" i="32"/>
  <c r="H78" i="32"/>
  <c r="H79" i="32" s="1"/>
  <c r="G61" i="31"/>
  <c r="H2" i="32"/>
  <c r="H162" i="32"/>
  <c r="F169" i="32"/>
  <c r="F110" i="32"/>
  <c r="F36" i="32"/>
  <c r="K163" i="32"/>
  <c r="J34" i="32"/>
  <c r="F186" i="30"/>
  <c r="F6" i="30"/>
  <c r="E193" i="30"/>
  <c r="E112" i="30"/>
  <c r="E23" i="30"/>
  <c r="J232" i="30"/>
  <c r="J60" i="29"/>
  <c r="G169" i="30"/>
  <c r="G110" i="30"/>
  <c r="G36" i="30"/>
  <c r="G199" i="30"/>
  <c r="I78" i="30"/>
  <c r="I79" i="30" s="1"/>
  <c r="I2" i="30"/>
  <c r="H61" i="29"/>
  <c r="J161" i="30"/>
  <c r="I162" i="30"/>
  <c r="G29" i="30"/>
  <c r="G233" i="30"/>
  <c r="I215" i="30"/>
  <c r="I48" i="29"/>
  <c r="H168" i="30"/>
  <c r="G5" i="30"/>
  <c r="J163" i="30"/>
  <c r="I34" i="30"/>
  <c r="H197" i="30"/>
  <c r="H183" i="30"/>
  <c r="H20" i="30" s="1"/>
  <c r="H179" i="30"/>
  <c r="H16" i="30" s="1"/>
  <c r="H175" i="30"/>
  <c r="H12" i="30" s="1"/>
  <c r="H184" i="30"/>
  <c r="H21" i="30" s="1"/>
  <c r="H180" i="30"/>
  <c r="H17" i="30" s="1"/>
  <c r="H176" i="30"/>
  <c r="H13" i="30" s="1"/>
  <c r="H172" i="30"/>
  <c r="H9" i="30" s="1"/>
  <c r="H171" i="30"/>
  <c r="H8" i="30" s="1"/>
  <c r="H170" i="30"/>
  <c r="H7" i="30" s="1"/>
  <c r="H182" i="30"/>
  <c r="H19" i="30" s="1"/>
  <c r="H178" i="30"/>
  <c r="H15" i="30" s="1"/>
  <c r="H174" i="30"/>
  <c r="H11" i="30" s="1"/>
  <c r="H164" i="30"/>
  <c r="H165" i="30" s="1"/>
  <c r="H181" i="30"/>
  <c r="H18" i="30" s="1"/>
  <c r="H177" i="30"/>
  <c r="H14" i="30" s="1"/>
  <c r="H173" i="30"/>
  <c r="H10" i="30" s="1"/>
  <c r="F40" i="30"/>
  <c r="F73" i="30"/>
  <c r="G231" i="30"/>
  <c r="H102" i="30"/>
  <c r="G108" i="30"/>
  <c r="I206" i="30"/>
  <c r="I46" i="29"/>
  <c r="I46" i="27"/>
  <c r="I206" i="28"/>
  <c r="I47" i="28" s="1"/>
  <c r="G197" i="28"/>
  <c r="G184" i="28"/>
  <c r="G21" i="28" s="1"/>
  <c r="G183" i="28"/>
  <c r="G20" i="28" s="1"/>
  <c r="G182" i="28"/>
  <c r="G19" i="28" s="1"/>
  <c r="G178" i="28"/>
  <c r="G15" i="28" s="1"/>
  <c r="G181" i="28"/>
  <c r="G18" i="28" s="1"/>
  <c r="G177" i="28"/>
  <c r="G14" i="28" s="1"/>
  <c r="G173" i="28"/>
  <c r="G10" i="28" s="1"/>
  <c r="G180" i="28"/>
  <c r="G17" i="28" s="1"/>
  <c r="G176" i="28"/>
  <c r="G13" i="28" s="1"/>
  <c r="G172" i="28"/>
  <c r="G9" i="28" s="1"/>
  <c r="G171" i="28"/>
  <c r="G8" i="28" s="1"/>
  <c r="G179" i="28"/>
  <c r="G16" i="28" s="1"/>
  <c r="G175" i="28"/>
  <c r="G12" i="28" s="1"/>
  <c r="G174" i="28"/>
  <c r="G11" i="28" s="1"/>
  <c r="G170" i="28"/>
  <c r="G7" i="28" s="1"/>
  <c r="G164" i="28"/>
  <c r="G165" i="28" s="1"/>
  <c r="K163" i="28"/>
  <c r="J34" i="28"/>
  <c r="I161" i="28"/>
  <c r="H78" i="28"/>
  <c r="H79" i="28" s="1"/>
  <c r="H2" i="28"/>
  <c r="G61" i="27"/>
  <c r="H162" i="28"/>
  <c r="F169" i="28"/>
  <c r="F110" i="28"/>
  <c r="F36" i="28"/>
  <c r="F29" i="28"/>
  <c r="E186" i="28"/>
  <c r="E6" i="28"/>
  <c r="F199" i="28"/>
  <c r="D193" i="28"/>
  <c r="D112" i="28"/>
  <c r="D23" i="28"/>
  <c r="H168" i="28"/>
  <c r="G5" i="28"/>
  <c r="J232" i="28"/>
  <c r="J60" i="27"/>
  <c r="E73" i="28"/>
  <c r="E40" i="28"/>
  <c r="I215" i="28"/>
  <c r="I50" i="28" s="1"/>
  <c r="I48" i="27"/>
  <c r="F233" i="28"/>
  <c r="F231" i="28"/>
  <c r="F108" i="28"/>
  <c r="G102" i="28"/>
  <c r="I162" i="20"/>
  <c r="J161" i="20"/>
  <c r="H170" i="20"/>
  <c r="H176" i="20"/>
  <c r="H164" i="20"/>
  <c r="H165" i="20" s="1"/>
  <c r="C102" i="20"/>
  <c r="C78" i="20"/>
  <c r="C79" i="20" s="1"/>
  <c r="C2" i="20"/>
  <c r="C110" i="20"/>
  <c r="D60" i="23"/>
  <c r="E232" i="20" s="1"/>
  <c r="A12" i="20"/>
  <c r="B61" i="23"/>
  <c r="C197" i="20" s="1"/>
  <c r="A20" i="20"/>
  <c r="A16" i="20"/>
  <c r="A8" i="20"/>
  <c r="A22" i="20"/>
  <c r="C15" i="20"/>
  <c r="C19" i="20"/>
  <c r="C9" i="20"/>
  <c r="A14" i="20"/>
  <c r="A10" i="20"/>
  <c r="A18" i="20"/>
  <c r="A19" i="20"/>
  <c r="C11" i="20"/>
  <c r="C17" i="20"/>
  <c r="C20" i="20"/>
  <c r="C8" i="20"/>
  <c r="A6" i="20"/>
  <c r="A15" i="20"/>
  <c r="C14" i="20"/>
  <c r="C21" i="20"/>
  <c r="C10" i="20"/>
  <c r="A11" i="20"/>
  <c r="C12" i="20"/>
  <c r="C13" i="20"/>
  <c r="C18" i="20"/>
  <c r="C16" i="20"/>
  <c r="D48" i="23"/>
  <c r="A9" i="20"/>
  <c r="A13" i="20"/>
  <c r="A17" i="20"/>
  <c r="A21" i="20"/>
  <c r="D34" i="20"/>
  <c r="C7" i="20"/>
  <c r="D46" i="23"/>
  <c r="E206" i="20" s="1"/>
  <c r="G25" i="26" s="1"/>
  <c r="F3" i="29" l="1"/>
  <c r="F13" i="29" s="1"/>
  <c r="F3" i="31"/>
  <c r="F13" i="31" s="1"/>
  <c r="Q230" i="32" s="1"/>
  <c r="F3" i="33"/>
  <c r="F13" i="33" s="1"/>
  <c r="B14" i="33" s="1"/>
  <c r="C103" i="34" s="1"/>
  <c r="G186" i="20"/>
  <c r="G193" i="20" s="1"/>
  <c r="D186" i="20"/>
  <c r="D193" i="20" s="1"/>
  <c r="E48" i="23"/>
  <c r="E215" i="20"/>
  <c r="I25" i="26" s="1"/>
  <c r="E186" i="20"/>
  <c r="C193" i="20"/>
  <c r="B14" i="27"/>
  <c r="C103" i="28" s="1"/>
  <c r="I230" i="28"/>
  <c r="C230" i="28"/>
  <c r="E230" i="28"/>
  <c r="H230" i="28"/>
  <c r="M230" i="28"/>
  <c r="O230" i="28"/>
  <c r="J230" i="28"/>
  <c r="G230" i="28"/>
  <c r="P230" i="28"/>
  <c r="N230" i="28"/>
  <c r="L230" i="28"/>
  <c r="F230" i="28"/>
  <c r="D230" i="28"/>
  <c r="Q230" i="28"/>
  <c r="K230" i="28"/>
  <c r="H230" i="30"/>
  <c r="O230" i="30"/>
  <c r="C230" i="30"/>
  <c r="D230" i="30"/>
  <c r="G230" i="30"/>
  <c r="J230" i="30"/>
  <c r="L230" i="30"/>
  <c r="Q230" i="30"/>
  <c r="B14" i="29"/>
  <c r="C103" i="30" s="1"/>
  <c r="N230" i="30"/>
  <c r="I230" i="30"/>
  <c r="M230" i="30"/>
  <c r="F230" i="30"/>
  <c r="E230" i="30"/>
  <c r="P230" i="30"/>
  <c r="K230" i="30"/>
  <c r="G230" i="34"/>
  <c r="J230" i="34"/>
  <c r="M230" i="34"/>
  <c r="F230" i="34"/>
  <c r="L230" i="34"/>
  <c r="O230" i="34"/>
  <c r="I5" i="26"/>
  <c r="I7" i="26" s="1"/>
  <c r="C50" i="20"/>
  <c r="D230" i="32"/>
  <c r="O230" i="32"/>
  <c r="B14" i="31"/>
  <c r="C103" i="32" s="1"/>
  <c r="C230" i="32"/>
  <c r="N230" i="32"/>
  <c r="J230" i="32"/>
  <c r="K230" i="32"/>
  <c r="F230" i="32"/>
  <c r="M230" i="32"/>
  <c r="L230" i="32"/>
  <c r="E230" i="32"/>
  <c r="G230" i="32"/>
  <c r="F186" i="20"/>
  <c r="J230" i="20"/>
  <c r="C230" i="20"/>
  <c r="K230" i="20"/>
  <c r="M230" i="20"/>
  <c r="Q230" i="20"/>
  <c r="E230" i="20"/>
  <c r="N230" i="20"/>
  <c r="I230" i="20"/>
  <c r="D230" i="20"/>
  <c r="L230" i="20"/>
  <c r="F230" i="20"/>
  <c r="G230" i="20"/>
  <c r="O230" i="20"/>
  <c r="H230" i="20"/>
  <c r="P230" i="20"/>
  <c r="H197" i="34"/>
  <c r="H183" i="34"/>
  <c r="H20" i="34" s="1"/>
  <c r="H179" i="34"/>
  <c r="H16" i="34" s="1"/>
  <c r="H175" i="34"/>
  <c r="H12" i="34" s="1"/>
  <c r="H171" i="34"/>
  <c r="H8" i="34" s="1"/>
  <c r="H182" i="34"/>
  <c r="H19" i="34" s="1"/>
  <c r="H178" i="34"/>
  <c r="H15" i="34" s="1"/>
  <c r="H181" i="34"/>
  <c r="H18" i="34" s="1"/>
  <c r="H177" i="34"/>
  <c r="H14" i="34" s="1"/>
  <c r="H172" i="34"/>
  <c r="H9" i="34" s="1"/>
  <c r="H184" i="34"/>
  <c r="H21" i="34" s="1"/>
  <c r="H180" i="34"/>
  <c r="H17" i="34" s="1"/>
  <c r="H176" i="34"/>
  <c r="H13" i="34" s="1"/>
  <c r="H170" i="34"/>
  <c r="H7" i="34" s="1"/>
  <c r="H174" i="34"/>
  <c r="H11" i="34" s="1"/>
  <c r="H164" i="34"/>
  <c r="H165" i="34" s="1"/>
  <c r="H173" i="34"/>
  <c r="H10" i="34" s="1"/>
  <c r="F186" i="34"/>
  <c r="F6" i="34"/>
  <c r="J215" i="34"/>
  <c r="J50" i="34" s="1"/>
  <c r="J48" i="33"/>
  <c r="G29" i="34"/>
  <c r="E193" i="34"/>
  <c r="E23" i="34"/>
  <c r="E112" i="34"/>
  <c r="I168" i="34"/>
  <c r="H5" i="34"/>
  <c r="J161" i="34"/>
  <c r="I78" i="34"/>
  <c r="I79" i="34" s="1"/>
  <c r="I2" i="34"/>
  <c r="H61" i="33"/>
  <c r="I162" i="34"/>
  <c r="I232" i="34"/>
  <c r="I60" i="33"/>
  <c r="F40" i="34"/>
  <c r="F73" i="34"/>
  <c r="G110" i="34"/>
  <c r="G169" i="34"/>
  <c r="G36" i="34"/>
  <c r="L163" i="34"/>
  <c r="K34" i="34"/>
  <c r="G233" i="34"/>
  <c r="G231" i="34"/>
  <c r="G108" i="34"/>
  <c r="H102" i="34"/>
  <c r="G199" i="34"/>
  <c r="H198" i="34" s="1"/>
  <c r="H30" i="34" s="1"/>
  <c r="J206" i="34"/>
  <c r="J47" i="34" s="1"/>
  <c r="J46" i="33"/>
  <c r="G231" i="32"/>
  <c r="G108" i="32"/>
  <c r="H102" i="32"/>
  <c r="J215" i="32"/>
  <c r="J50" i="32" s="1"/>
  <c r="J48" i="31"/>
  <c r="F186" i="32"/>
  <c r="F6" i="32"/>
  <c r="J161" i="32"/>
  <c r="I2" i="32"/>
  <c r="I78" i="32"/>
  <c r="I79" i="32" s="1"/>
  <c r="H61" i="31"/>
  <c r="I162" i="32"/>
  <c r="F199" i="32"/>
  <c r="L163" i="32"/>
  <c r="K34" i="32"/>
  <c r="E193" i="32"/>
  <c r="E112" i="32"/>
  <c r="E23" i="32"/>
  <c r="J206" i="32"/>
  <c r="J47" i="32" s="1"/>
  <c r="J46" i="31"/>
  <c r="I232" i="32"/>
  <c r="I60" i="31"/>
  <c r="F73" i="32"/>
  <c r="F40" i="32"/>
  <c r="H183" i="32"/>
  <c r="H20" i="32" s="1"/>
  <c r="H179" i="32"/>
  <c r="H16" i="32" s="1"/>
  <c r="H175" i="32"/>
  <c r="H12" i="32" s="1"/>
  <c r="H171" i="32"/>
  <c r="H8" i="32" s="1"/>
  <c r="H184" i="32"/>
  <c r="H21" i="32" s="1"/>
  <c r="H182" i="32"/>
  <c r="H19" i="32" s="1"/>
  <c r="H178" i="32"/>
  <c r="H15" i="32" s="1"/>
  <c r="H174" i="32"/>
  <c r="H11" i="32" s="1"/>
  <c r="H170" i="32"/>
  <c r="H7" i="32" s="1"/>
  <c r="H197" i="32"/>
  <c r="H181" i="32"/>
  <c r="H18" i="32" s="1"/>
  <c r="H177" i="32"/>
  <c r="H14" i="32" s="1"/>
  <c r="H173" i="32"/>
  <c r="H10" i="32" s="1"/>
  <c r="H164" i="32"/>
  <c r="H165" i="32" s="1"/>
  <c r="H180" i="32"/>
  <c r="H17" i="32" s="1"/>
  <c r="H176" i="32"/>
  <c r="H13" i="32" s="1"/>
  <c r="H172" i="32"/>
  <c r="H9" i="32" s="1"/>
  <c r="G169" i="32"/>
  <c r="G110" i="32"/>
  <c r="G36" i="32"/>
  <c r="G29" i="32"/>
  <c r="G233" i="32"/>
  <c r="I168" i="32"/>
  <c r="H5" i="32"/>
  <c r="J206" i="30"/>
  <c r="J46" i="29"/>
  <c r="I182" i="30"/>
  <c r="I19" i="30" s="1"/>
  <c r="I178" i="30"/>
  <c r="I15" i="30" s="1"/>
  <c r="I174" i="30"/>
  <c r="I11" i="30" s="1"/>
  <c r="I197" i="30"/>
  <c r="I183" i="30"/>
  <c r="I20" i="30" s="1"/>
  <c r="I179" i="30"/>
  <c r="I16" i="30" s="1"/>
  <c r="I175" i="30"/>
  <c r="I12" i="30" s="1"/>
  <c r="I170" i="30"/>
  <c r="I7" i="30" s="1"/>
  <c r="I181" i="30"/>
  <c r="I18" i="30" s="1"/>
  <c r="I177" i="30"/>
  <c r="I14" i="30" s="1"/>
  <c r="I173" i="30"/>
  <c r="I10" i="30" s="1"/>
  <c r="I171" i="30"/>
  <c r="I8" i="30" s="1"/>
  <c r="I184" i="30"/>
  <c r="I21" i="30" s="1"/>
  <c r="I164" i="30"/>
  <c r="I165" i="30" s="1"/>
  <c r="I180" i="30"/>
  <c r="I17" i="30" s="1"/>
  <c r="I176" i="30"/>
  <c r="I13" i="30" s="1"/>
  <c r="I172" i="30"/>
  <c r="I9" i="30" s="1"/>
  <c r="G186" i="30"/>
  <c r="G6" i="30"/>
  <c r="K232" i="30"/>
  <c r="K60" i="29"/>
  <c r="H108" i="30"/>
  <c r="H231" i="30"/>
  <c r="I102" i="30"/>
  <c r="H29" i="30"/>
  <c r="H233" i="30"/>
  <c r="H198" i="30"/>
  <c r="H30" i="30" s="1"/>
  <c r="I168" i="30"/>
  <c r="H5" i="30"/>
  <c r="F193" i="30"/>
  <c r="F112" i="30"/>
  <c r="F23" i="30"/>
  <c r="H169" i="30"/>
  <c r="H36" i="30"/>
  <c r="H110" i="30"/>
  <c r="J215" i="30"/>
  <c r="J50" i="30" s="1"/>
  <c r="J48" i="29"/>
  <c r="I47" i="30"/>
  <c r="K163" i="30"/>
  <c r="J34" i="30"/>
  <c r="I50" i="30"/>
  <c r="K161" i="30"/>
  <c r="J78" i="30"/>
  <c r="J79" i="30" s="1"/>
  <c r="I61" i="29"/>
  <c r="J2" i="30"/>
  <c r="J162" i="30"/>
  <c r="G73" i="30"/>
  <c r="G40" i="30"/>
  <c r="J46" i="27"/>
  <c r="J206" i="28"/>
  <c r="J47" i="28" s="1"/>
  <c r="F186" i="28"/>
  <c r="F6" i="28"/>
  <c r="E193" i="28"/>
  <c r="E112" i="28"/>
  <c r="E23" i="28"/>
  <c r="G169" i="28"/>
  <c r="G110" i="28"/>
  <c r="G36" i="28"/>
  <c r="K232" i="28"/>
  <c r="K60" i="27"/>
  <c r="L163" i="28"/>
  <c r="K34" i="28"/>
  <c r="G231" i="28"/>
  <c r="G108" i="28"/>
  <c r="H102" i="28"/>
  <c r="H197" i="28"/>
  <c r="H233" i="28" s="1"/>
  <c r="H181" i="28"/>
  <c r="H18" i="28" s="1"/>
  <c r="H177" i="28"/>
  <c r="H14" i="28" s="1"/>
  <c r="H180" i="28"/>
  <c r="H17" i="28" s="1"/>
  <c r="H176" i="28"/>
  <c r="H13" i="28" s="1"/>
  <c r="H172" i="28"/>
  <c r="H9" i="28" s="1"/>
  <c r="H179" i="28"/>
  <c r="H16" i="28" s="1"/>
  <c r="H175" i="28"/>
  <c r="H12" i="28" s="1"/>
  <c r="H171" i="28"/>
  <c r="H8" i="28" s="1"/>
  <c r="H174" i="28"/>
  <c r="H11" i="28" s="1"/>
  <c r="H170" i="28"/>
  <c r="H7" i="28" s="1"/>
  <c r="H164" i="28"/>
  <c r="H165" i="28" s="1"/>
  <c r="H183" i="28"/>
  <c r="H20" i="28" s="1"/>
  <c r="H184" i="28"/>
  <c r="H21" i="28" s="1"/>
  <c r="H182" i="28"/>
  <c r="H19" i="28" s="1"/>
  <c r="H178" i="28"/>
  <c r="H15" i="28" s="1"/>
  <c r="H173" i="28"/>
  <c r="H10" i="28" s="1"/>
  <c r="G29" i="28"/>
  <c r="G233" i="28"/>
  <c r="J215" i="28"/>
  <c r="J50" i="28" s="1"/>
  <c r="J48" i="27"/>
  <c r="I168" i="28"/>
  <c r="H5" i="28"/>
  <c r="F73" i="28"/>
  <c r="F40" i="28"/>
  <c r="J161" i="28"/>
  <c r="I78" i="28"/>
  <c r="I79" i="28" s="1"/>
  <c r="I2" i="28"/>
  <c r="H61" i="27"/>
  <c r="I162" i="28"/>
  <c r="G198" i="28"/>
  <c r="G30" i="28" s="1"/>
  <c r="C229" i="20"/>
  <c r="C231" i="20"/>
  <c r="K161" i="20"/>
  <c r="J162" i="20"/>
  <c r="C233" i="20"/>
  <c r="H169" i="20"/>
  <c r="H186" i="20" s="1"/>
  <c r="I164" i="20"/>
  <c r="I165" i="20" s="1"/>
  <c r="I173" i="20"/>
  <c r="I177" i="20"/>
  <c r="I171" i="20"/>
  <c r="I175" i="20"/>
  <c r="I179" i="20"/>
  <c r="I183" i="20"/>
  <c r="I174" i="20"/>
  <c r="I178" i="20"/>
  <c r="I198" i="20"/>
  <c r="I199" i="20" s="1"/>
  <c r="I170" i="20"/>
  <c r="I180" i="20"/>
  <c r="I181" i="20"/>
  <c r="I184" i="20"/>
  <c r="I172" i="20"/>
  <c r="I176" i="20"/>
  <c r="I182" i="20"/>
  <c r="I8" i="26"/>
  <c r="G8" i="26"/>
  <c r="G10" i="26"/>
  <c r="G9" i="26"/>
  <c r="G7" i="26"/>
  <c r="E103" i="20"/>
  <c r="D2" i="20"/>
  <c r="D78" i="20"/>
  <c r="D79" i="20" s="1"/>
  <c r="D50" i="20"/>
  <c r="C106" i="20"/>
  <c r="C108" i="20"/>
  <c r="C107" i="20"/>
  <c r="C105" i="20"/>
  <c r="D17" i="20"/>
  <c r="D47" i="20"/>
  <c r="D61" i="23"/>
  <c r="E197" i="20" s="1"/>
  <c r="C30" i="20"/>
  <c r="C61" i="23"/>
  <c r="D197" i="20" s="1"/>
  <c r="C5" i="20"/>
  <c r="C29" i="20"/>
  <c r="C36" i="20"/>
  <c r="C73" i="20" s="1"/>
  <c r="E60" i="23"/>
  <c r="F232" i="20" s="1"/>
  <c r="E16" i="25"/>
  <c r="E15" i="25"/>
  <c r="E11" i="25"/>
  <c r="E14" i="25"/>
  <c r="E17" i="25"/>
  <c r="E13" i="25"/>
  <c r="D20" i="20"/>
  <c r="E34" i="20"/>
  <c r="E46" i="23"/>
  <c r="F206" i="20" s="1"/>
  <c r="G35" i="26" s="1"/>
  <c r="I9" i="26" l="1"/>
  <c r="K230" i="34"/>
  <c r="N230" i="34"/>
  <c r="H230" i="34"/>
  <c r="H230" i="32"/>
  <c r="P230" i="32"/>
  <c r="I230" i="32"/>
  <c r="E230" i="34"/>
  <c r="Q230" i="34"/>
  <c r="I10" i="26"/>
  <c r="C230" i="34"/>
  <c r="H31" i="30"/>
  <c r="H42" i="30" s="1"/>
  <c r="H200" i="30"/>
  <c r="P230" i="34"/>
  <c r="I230" i="34"/>
  <c r="D230" i="34"/>
  <c r="H199" i="30"/>
  <c r="I198" i="30" s="1"/>
  <c r="I30" i="30" s="1"/>
  <c r="C105" i="32"/>
  <c r="D103" i="32"/>
  <c r="C229" i="32"/>
  <c r="C234" i="32" s="1"/>
  <c r="C235" i="32" s="1"/>
  <c r="C107" i="32"/>
  <c r="C108" i="32"/>
  <c r="C106" i="32"/>
  <c r="F215" i="20"/>
  <c r="I35" i="26" s="1"/>
  <c r="I39" i="26" s="1"/>
  <c r="F48" i="23"/>
  <c r="C107" i="34"/>
  <c r="C105" i="34"/>
  <c r="C106" i="34"/>
  <c r="C108" i="34"/>
  <c r="D103" i="34"/>
  <c r="C229" i="34"/>
  <c r="C234" i="34" s="1"/>
  <c r="C235" i="34" s="1"/>
  <c r="E193" i="20"/>
  <c r="C105" i="28"/>
  <c r="C106" i="28"/>
  <c r="C107" i="28"/>
  <c r="C108" i="28"/>
  <c r="D103" i="28"/>
  <c r="C229" i="28"/>
  <c r="C234" i="28" s="1"/>
  <c r="C235" i="28" s="1"/>
  <c r="F193" i="20"/>
  <c r="D103" i="30"/>
  <c r="C106" i="30"/>
  <c r="C108" i="30"/>
  <c r="C229" i="30"/>
  <c r="C234" i="30" s="1"/>
  <c r="C235" i="30" s="1"/>
  <c r="C105" i="30"/>
  <c r="C107" i="30"/>
  <c r="K46" i="33"/>
  <c r="K206" i="34"/>
  <c r="K47" i="34" s="1"/>
  <c r="H231" i="34"/>
  <c r="H108" i="34"/>
  <c r="I102" i="34"/>
  <c r="J168" i="34"/>
  <c r="I5" i="34"/>
  <c r="K215" i="34"/>
  <c r="K50" i="34" s="1"/>
  <c r="K48" i="33"/>
  <c r="M163" i="34"/>
  <c r="L34" i="34"/>
  <c r="I182" i="34"/>
  <c r="I19" i="34" s="1"/>
  <c r="I178" i="34"/>
  <c r="I15" i="34" s="1"/>
  <c r="I174" i="34"/>
  <c r="I11" i="34" s="1"/>
  <c r="I170" i="34"/>
  <c r="I7" i="34" s="1"/>
  <c r="I181" i="34"/>
  <c r="I18" i="34" s="1"/>
  <c r="I177" i="34"/>
  <c r="I14" i="34" s="1"/>
  <c r="I184" i="34"/>
  <c r="I21" i="34" s="1"/>
  <c r="I183" i="34"/>
  <c r="I20" i="34" s="1"/>
  <c r="I180" i="34"/>
  <c r="I17" i="34" s="1"/>
  <c r="I179" i="34"/>
  <c r="I16" i="34" s="1"/>
  <c r="I176" i="34"/>
  <c r="I13" i="34" s="1"/>
  <c r="I175" i="34"/>
  <c r="I12" i="34" s="1"/>
  <c r="I173" i="34"/>
  <c r="I10" i="34" s="1"/>
  <c r="I171" i="34"/>
  <c r="I8" i="34" s="1"/>
  <c r="I164" i="34"/>
  <c r="I165" i="34" s="1"/>
  <c r="I197" i="34"/>
  <c r="I172" i="34"/>
  <c r="I9" i="34" s="1"/>
  <c r="H169" i="34"/>
  <c r="H110" i="34"/>
  <c r="H36" i="34"/>
  <c r="H200" i="34"/>
  <c r="H29" i="34"/>
  <c r="H31" i="34" s="1"/>
  <c r="H42" i="34" s="1"/>
  <c r="H233" i="34"/>
  <c r="H199" i="34"/>
  <c r="I198" i="34" s="1"/>
  <c r="I30" i="34" s="1"/>
  <c r="G73" i="34"/>
  <c r="G40" i="34"/>
  <c r="G186" i="34"/>
  <c r="G6" i="34"/>
  <c r="J232" i="34"/>
  <c r="J60" i="33"/>
  <c r="K161" i="34"/>
  <c r="I61" i="33"/>
  <c r="J78" i="34"/>
  <c r="J79" i="34" s="1"/>
  <c r="J2" i="34"/>
  <c r="J162" i="34"/>
  <c r="F193" i="34"/>
  <c r="F112" i="34"/>
  <c r="F23" i="34"/>
  <c r="G186" i="32"/>
  <c r="G6" i="32"/>
  <c r="J232" i="32"/>
  <c r="J60" i="31"/>
  <c r="I184" i="32"/>
  <c r="I21" i="32" s="1"/>
  <c r="I197" i="32"/>
  <c r="I182" i="32"/>
  <c r="I19" i="32" s="1"/>
  <c r="I178" i="32"/>
  <c r="I15" i="32" s="1"/>
  <c r="I174" i="32"/>
  <c r="I11" i="32" s="1"/>
  <c r="I170" i="32"/>
  <c r="I7" i="32" s="1"/>
  <c r="I183" i="32"/>
  <c r="I20" i="32" s="1"/>
  <c r="I181" i="32"/>
  <c r="I18" i="32" s="1"/>
  <c r="I177" i="32"/>
  <c r="I14" i="32" s="1"/>
  <c r="I173" i="32"/>
  <c r="I10" i="32" s="1"/>
  <c r="I180" i="32"/>
  <c r="I17" i="32" s="1"/>
  <c r="I179" i="32"/>
  <c r="I16" i="32" s="1"/>
  <c r="I176" i="32"/>
  <c r="I13" i="32" s="1"/>
  <c r="I175" i="32"/>
  <c r="I12" i="32" s="1"/>
  <c r="I172" i="32"/>
  <c r="I9" i="32" s="1"/>
  <c r="I164" i="32"/>
  <c r="I165" i="32" s="1"/>
  <c r="I171" i="32"/>
  <c r="I8" i="32" s="1"/>
  <c r="K215" i="32"/>
  <c r="K50" i="32" s="1"/>
  <c r="K48" i="31"/>
  <c r="G73" i="32"/>
  <c r="G40" i="32"/>
  <c r="M163" i="32"/>
  <c r="L34" i="32"/>
  <c r="K161" i="32"/>
  <c r="J78" i="32"/>
  <c r="J79" i="32" s="1"/>
  <c r="I61" i="31"/>
  <c r="J2" i="32"/>
  <c r="J162" i="32"/>
  <c r="H169" i="32"/>
  <c r="H110" i="32"/>
  <c r="H36" i="32"/>
  <c r="H29" i="32"/>
  <c r="K206" i="32"/>
  <c r="K47" i="32" s="1"/>
  <c r="K46" i="31"/>
  <c r="J168" i="32"/>
  <c r="I5" i="32"/>
  <c r="H233" i="32"/>
  <c r="G198" i="32"/>
  <c r="G199" i="32" s="1"/>
  <c r="F193" i="32"/>
  <c r="F112" i="32"/>
  <c r="F23" i="32"/>
  <c r="H108" i="32"/>
  <c r="H231" i="32"/>
  <c r="I102" i="32"/>
  <c r="J197" i="30"/>
  <c r="J181" i="30"/>
  <c r="J18" i="30" s="1"/>
  <c r="J177" i="30"/>
  <c r="J14" i="30" s="1"/>
  <c r="J173" i="30"/>
  <c r="J10" i="30" s="1"/>
  <c r="J184" i="30"/>
  <c r="J21" i="30" s="1"/>
  <c r="J182" i="30"/>
  <c r="J19" i="30" s="1"/>
  <c r="J178" i="30"/>
  <c r="J15" i="30" s="1"/>
  <c r="J174" i="30"/>
  <c r="J11" i="30" s="1"/>
  <c r="J164" i="30"/>
  <c r="J165" i="30" s="1"/>
  <c r="J179" i="30"/>
  <c r="J16" i="30" s="1"/>
  <c r="J175" i="30"/>
  <c r="J12" i="30" s="1"/>
  <c r="J180" i="30"/>
  <c r="J17" i="30" s="1"/>
  <c r="J176" i="30"/>
  <c r="J13" i="30" s="1"/>
  <c r="J172" i="30"/>
  <c r="J9" i="30" s="1"/>
  <c r="J171" i="30"/>
  <c r="J8" i="30" s="1"/>
  <c r="J183" i="30"/>
  <c r="J20" i="30" s="1"/>
  <c r="J170" i="30"/>
  <c r="J7" i="30" s="1"/>
  <c r="H186" i="30"/>
  <c r="H6" i="30"/>
  <c r="I110" i="30"/>
  <c r="I169" i="30"/>
  <c r="I36" i="30"/>
  <c r="I29" i="30"/>
  <c r="I233" i="30"/>
  <c r="L163" i="30"/>
  <c r="K34" i="30"/>
  <c r="J47" i="30"/>
  <c r="K215" i="30"/>
  <c r="K50" i="30" s="1"/>
  <c r="K48" i="29"/>
  <c r="H40" i="30"/>
  <c r="H73" i="30"/>
  <c r="I231" i="30"/>
  <c r="J102" i="30"/>
  <c r="I108" i="30"/>
  <c r="G193" i="30"/>
  <c r="G23" i="30"/>
  <c r="G112" i="30"/>
  <c r="L161" i="30"/>
  <c r="K78" i="30"/>
  <c r="K79" i="30" s="1"/>
  <c r="K2" i="30"/>
  <c r="K162" i="30"/>
  <c r="J61" i="29"/>
  <c r="L232" i="30"/>
  <c r="L60" i="29"/>
  <c r="K206" i="30"/>
  <c r="K47" i="30" s="1"/>
  <c r="K46" i="29"/>
  <c r="I5" i="30"/>
  <c r="J168" i="30"/>
  <c r="K206" i="28"/>
  <c r="K47" i="28" s="1"/>
  <c r="K46" i="27"/>
  <c r="G199" i="28"/>
  <c r="M163" i="28"/>
  <c r="L34" i="28"/>
  <c r="G73" i="28"/>
  <c r="G40" i="28"/>
  <c r="I184" i="28"/>
  <c r="I21" i="28" s="1"/>
  <c r="I197" i="28"/>
  <c r="I180" i="28"/>
  <c r="I17" i="28" s="1"/>
  <c r="I176" i="28"/>
  <c r="I13" i="28" s="1"/>
  <c r="I179" i="28"/>
  <c r="I16" i="28" s="1"/>
  <c r="I175" i="28"/>
  <c r="I12" i="28" s="1"/>
  <c r="I171" i="28"/>
  <c r="I8" i="28" s="1"/>
  <c r="I183" i="28"/>
  <c r="I20" i="28" s="1"/>
  <c r="I182" i="28"/>
  <c r="I19" i="28" s="1"/>
  <c r="I178" i="28"/>
  <c r="I15" i="28" s="1"/>
  <c r="I174" i="28"/>
  <c r="I11" i="28" s="1"/>
  <c r="I170" i="28"/>
  <c r="I7" i="28" s="1"/>
  <c r="I181" i="28"/>
  <c r="I18" i="28" s="1"/>
  <c r="I177" i="28"/>
  <c r="I14" i="28" s="1"/>
  <c r="I164" i="28"/>
  <c r="I165" i="28" s="1"/>
  <c r="I173" i="28"/>
  <c r="I10" i="28" s="1"/>
  <c r="I172" i="28"/>
  <c r="I9" i="28" s="1"/>
  <c r="H169" i="28"/>
  <c r="H110" i="28"/>
  <c r="H36" i="28"/>
  <c r="H29" i="28"/>
  <c r="G186" i="28"/>
  <c r="G6" i="28"/>
  <c r="F193" i="28"/>
  <c r="F112" i="28"/>
  <c r="F23" i="28"/>
  <c r="K161" i="28"/>
  <c r="J78" i="28"/>
  <c r="J79" i="28" s="1"/>
  <c r="I61" i="27"/>
  <c r="J2" i="28"/>
  <c r="J162" i="28"/>
  <c r="J168" i="28"/>
  <c r="I5" i="28"/>
  <c r="L232" i="28"/>
  <c r="L60" i="27"/>
  <c r="K215" i="28"/>
  <c r="K50" i="28" s="1"/>
  <c r="K48" i="27"/>
  <c r="H231" i="28"/>
  <c r="I102" i="28"/>
  <c r="H108" i="28"/>
  <c r="L161" i="20"/>
  <c r="K162" i="20"/>
  <c r="I169" i="20"/>
  <c r="I186" i="20" s="1"/>
  <c r="H193" i="20"/>
  <c r="D233" i="20"/>
  <c r="E233" i="20"/>
  <c r="J172" i="20"/>
  <c r="J176" i="20"/>
  <c r="J164" i="20"/>
  <c r="J165" i="20" s="1"/>
  <c r="J170" i="20"/>
  <c r="J174" i="20"/>
  <c r="J178" i="20"/>
  <c r="J182" i="20"/>
  <c r="J171" i="20"/>
  <c r="J181" i="20"/>
  <c r="J184" i="20"/>
  <c r="J175" i="20"/>
  <c r="J179" i="20"/>
  <c r="J173" i="20"/>
  <c r="J177" i="20"/>
  <c r="J198" i="20"/>
  <c r="J199" i="20" s="1"/>
  <c r="J183" i="20"/>
  <c r="J180" i="20"/>
  <c r="C234" i="20"/>
  <c r="C235" i="20" s="1"/>
  <c r="I12" i="26"/>
  <c r="D7" i="20"/>
  <c r="G12" i="26"/>
  <c r="D10" i="20"/>
  <c r="D8" i="20"/>
  <c r="G19" i="26"/>
  <c r="G18" i="26"/>
  <c r="G20" i="26"/>
  <c r="G17" i="26"/>
  <c r="I19" i="26"/>
  <c r="I17" i="26"/>
  <c r="I20" i="26"/>
  <c r="I18" i="26"/>
  <c r="E2" i="20"/>
  <c r="F103" i="20"/>
  <c r="E78" i="20"/>
  <c r="E79" i="20" s="1"/>
  <c r="D14" i="20"/>
  <c r="D29" i="20"/>
  <c r="D15" i="20"/>
  <c r="D21" i="20"/>
  <c r="D16" i="20"/>
  <c r="D12" i="20"/>
  <c r="D18" i="20"/>
  <c r="D9" i="20"/>
  <c r="D102" i="20"/>
  <c r="E47" i="20"/>
  <c r="E50" i="20"/>
  <c r="D5" i="20"/>
  <c r="D11" i="20"/>
  <c r="D13" i="20"/>
  <c r="D19" i="20"/>
  <c r="C40" i="20"/>
  <c r="C6" i="20"/>
  <c r="F60" i="23"/>
  <c r="G232" i="20" s="1"/>
  <c r="I28" i="26"/>
  <c r="I30" i="26"/>
  <c r="I27" i="26"/>
  <c r="I29" i="26"/>
  <c r="F46" i="23"/>
  <c r="G206" i="20" s="1"/>
  <c r="G45" i="26" s="1"/>
  <c r="F34" i="20"/>
  <c r="E21" i="20"/>
  <c r="E20" i="20"/>
  <c r="E15" i="20"/>
  <c r="E16" i="20"/>
  <c r="E8" i="20"/>
  <c r="E7" i="20"/>
  <c r="E12" i="20"/>
  <c r="E13" i="20"/>
  <c r="E17" i="20"/>
  <c r="I200" i="30" l="1"/>
  <c r="I40" i="26"/>
  <c r="I38" i="26"/>
  <c r="E103" i="34"/>
  <c r="D229" i="34"/>
  <c r="D234" i="34" s="1"/>
  <c r="D235" i="34" s="1"/>
  <c r="D106" i="34"/>
  <c r="D107" i="34"/>
  <c r="D105" i="34"/>
  <c r="E103" i="32"/>
  <c r="D106" i="32"/>
  <c r="D229" i="32"/>
  <c r="D234" i="32" s="1"/>
  <c r="D235" i="32" s="1"/>
  <c r="D105" i="32"/>
  <c r="D107" i="32"/>
  <c r="C237" i="30"/>
  <c r="C236" i="30"/>
  <c r="I37" i="26"/>
  <c r="F50" i="20"/>
  <c r="E103" i="28"/>
  <c r="D107" i="28"/>
  <c r="D229" i="28"/>
  <c r="D234" i="28" s="1"/>
  <c r="D235" i="28" s="1"/>
  <c r="D106" i="28"/>
  <c r="D105" i="28"/>
  <c r="C207" i="20"/>
  <c r="C48" i="20" s="1"/>
  <c r="C207" i="28"/>
  <c r="C48" i="28" s="1"/>
  <c r="C49" i="28" s="1"/>
  <c r="C207" i="32"/>
  <c r="C48" i="32" s="1"/>
  <c r="C49" i="32" s="1"/>
  <c r="C207" i="34"/>
  <c r="C48" i="34" s="1"/>
  <c r="C49" i="34" s="1"/>
  <c r="C207" i="30"/>
  <c r="C48" i="30" s="1"/>
  <c r="C49" i="30" s="1"/>
  <c r="C237" i="34"/>
  <c r="C236" i="34"/>
  <c r="C237" i="32"/>
  <c r="C236" i="32"/>
  <c r="C216" i="20"/>
  <c r="C51" i="20" s="1"/>
  <c r="C52" i="20" s="1"/>
  <c r="C216" i="28"/>
  <c r="C51" i="28" s="1"/>
  <c r="C52" i="28" s="1"/>
  <c r="C216" i="32"/>
  <c r="C51" i="32" s="1"/>
  <c r="C52" i="32" s="1"/>
  <c r="C216" i="30"/>
  <c r="C51" i="30" s="1"/>
  <c r="C52" i="30" s="1"/>
  <c r="C216" i="34"/>
  <c r="C51" i="34" s="1"/>
  <c r="C52" i="34" s="1"/>
  <c r="G215" i="20"/>
  <c r="G48" i="23"/>
  <c r="E103" i="30"/>
  <c r="D105" i="30"/>
  <c r="D229" i="30"/>
  <c r="D234" i="30" s="1"/>
  <c r="D235" i="30" s="1"/>
  <c r="D106" i="30"/>
  <c r="D107" i="30"/>
  <c r="C236" i="28"/>
  <c r="C237" i="28"/>
  <c r="L215" i="34"/>
  <c r="L50" i="34" s="1"/>
  <c r="L48" i="33"/>
  <c r="L161" i="34"/>
  <c r="K78" i="34"/>
  <c r="K79" i="34" s="1"/>
  <c r="K2" i="34"/>
  <c r="J61" i="33"/>
  <c r="K162" i="34"/>
  <c r="I199" i="34"/>
  <c r="I169" i="34"/>
  <c r="I110" i="34"/>
  <c r="I36" i="34"/>
  <c r="K168" i="34"/>
  <c r="J5" i="34"/>
  <c r="L206" i="34"/>
  <c r="L47" i="34" s="1"/>
  <c r="L46" i="33"/>
  <c r="J197" i="34"/>
  <c r="J181" i="34"/>
  <c r="J18" i="34" s="1"/>
  <c r="J177" i="34"/>
  <c r="J14" i="34" s="1"/>
  <c r="J173" i="34"/>
  <c r="J10" i="34" s="1"/>
  <c r="J184" i="34"/>
  <c r="J21" i="34" s="1"/>
  <c r="J180" i="34"/>
  <c r="J17" i="34" s="1"/>
  <c r="J176" i="34"/>
  <c r="J13" i="34" s="1"/>
  <c r="J172" i="34"/>
  <c r="J9" i="34" s="1"/>
  <c r="J174" i="34"/>
  <c r="J11" i="34" s="1"/>
  <c r="J170" i="34"/>
  <c r="J7" i="34" s="1"/>
  <c r="J164" i="34"/>
  <c r="J165" i="34" s="1"/>
  <c r="J183" i="34"/>
  <c r="J20" i="34" s="1"/>
  <c r="J182" i="34"/>
  <c r="J19" i="34" s="1"/>
  <c r="J179" i="34"/>
  <c r="J16" i="34" s="1"/>
  <c r="J178" i="34"/>
  <c r="J15" i="34" s="1"/>
  <c r="J175" i="34"/>
  <c r="J12" i="34" s="1"/>
  <c r="J171" i="34"/>
  <c r="J8" i="34" s="1"/>
  <c r="I231" i="34"/>
  <c r="J102" i="34"/>
  <c r="I108" i="34"/>
  <c r="K232" i="34"/>
  <c r="K60" i="33"/>
  <c r="G193" i="34"/>
  <c r="G112" i="34"/>
  <c r="G23" i="34"/>
  <c r="H73" i="34"/>
  <c r="H40" i="34"/>
  <c r="H186" i="34"/>
  <c r="H6" i="34"/>
  <c r="I200" i="34"/>
  <c r="I29" i="34"/>
  <c r="I31" i="34" s="1"/>
  <c r="I42" i="34" s="1"/>
  <c r="I233" i="34"/>
  <c r="N163" i="34"/>
  <c r="M34" i="34"/>
  <c r="K168" i="32"/>
  <c r="J5" i="32"/>
  <c r="L206" i="32"/>
  <c r="L47" i="32" s="1"/>
  <c r="L46" i="31"/>
  <c r="I231" i="32"/>
  <c r="I108" i="32"/>
  <c r="J102" i="32"/>
  <c r="G30" i="32"/>
  <c r="H186" i="32"/>
  <c r="H6" i="32"/>
  <c r="J183" i="32"/>
  <c r="J20" i="32" s="1"/>
  <c r="J181" i="32"/>
  <c r="J18" i="32" s="1"/>
  <c r="J177" i="32"/>
  <c r="J14" i="32" s="1"/>
  <c r="J173" i="32"/>
  <c r="J10" i="32" s="1"/>
  <c r="J164" i="32"/>
  <c r="J165" i="32" s="1"/>
  <c r="J180" i="32"/>
  <c r="J17" i="32" s="1"/>
  <c r="J176" i="32"/>
  <c r="J13" i="32" s="1"/>
  <c r="J172" i="32"/>
  <c r="J9" i="32" s="1"/>
  <c r="J171" i="32"/>
  <c r="J8" i="32" s="1"/>
  <c r="J170" i="32"/>
  <c r="J7" i="32" s="1"/>
  <c r="J197" i="32"/>
  <c r="J233" i="32" s="1"/>
  <c r="J184" i="32"/>
  <c r="J21" i="32" s="1"/>
  <c r="J182" i="32"/>
  <c r="J19" i="32" s="1"/>
  <c r="J178" i="32"/>
  <c r="J15" i="32" s="1"/>
  <c r="J174" i="32"/>
  <c r="J11" i="32" s="1"/>
  <c r="J179" i="32"/>
  <c r="J16" i="32" s="1"/>
  <c r="J175" i="32"/>
  <c r="J12" i="32" s="1"/>
  <c r="N163" i="32"/>
  <c r="M34" i="32"/>
  <c r="I29" i="32"/>
  <c r="I233" i="32"/>
  <c r="G193" i="32"/>
  <c r="G112" i="32"/>
  <c r="G23" i="32"/>
  <c r="H198" i="32"/>
  <c r="H73" i="32"/>
  <c r="H40" i="32"/>
  <c r="I110" i="32"/>
  <c r="I169" i="32"/>
  <c r="I36" i="32"/>
  <c r="K232" i="32"/>
  <c r="K60" i="31"/>
  <c r="L161" i="32"/>
  <c r="K78" i="32"/>
  <c r="K79" i="32" s="1"/>
  <c r="K2" i="32"/>
  <c r="J61" i="31"/>
  <c r="K162" i="32"/>
  <c r="L215" i="32"/>
  <c r="L50" i="32" s="1"/>
  <c r="L48" i="31"/>
  <c r="L206" i="30"/>
  <c r="L46" i="29"/>
  <c r="K168" i="30"/>
  <c r="J5" i="30"/>
  <c r="I40" i="30"/>
  <c r="I73" i="30"/>
  <c r="I199" i="30"/>
  <c r="K184" i="30"/>
  <c r="K21" i="30" s="1"/>
  <c r="K180" i="30"/>
  <c r="K17" i="30" s="1"/>
  <c r="K176" i="30"/>
  <c r="K13" i="30" s="1"/>
  <c r="K172" i="30"/>
  <c r="K9" i="30" s="1"/>
  <c r="K183" i="30"/>
  <c r="K20" i="30" s="1"/>
  <c r="K164" i="30"/>
  <c r="K165" i="30" s="1"/>
  <c r="K197" i="30"/>
  <c r="K170" i="30"/>
  <c r="K7" i="30" s="1"/>
  <c r="K182" i="30"/>
  <c r="K19" i="30" s="1"/>
  <c r="K178" i="30"/>
  <c r="K15" i="30" s="1"/>
  <c r="K174" i="30"/>
  <c r="K11" i="30" s="1"/>
  <c r="K181" i="30"/>
  <c r="K18" i="30" s="1"/>
  <c r="K177" i="30"/>
  <c r="K14" i="30" s="1"/>
  <c r="K173" i="30"/>
  <c r="K10" i="30" s="1"/>
  <c r="K171" i="30"/>
  <c r="K8" i="30" s="1"/>
  <c r="K179" i="30"/>
  <c r="K16" i="30" s="1"/>
  <c r="K175" i="30"/>
  <c r="K12" i="30" s="1"/>
  <c r="M161" i="30"/>
  <c r="K61" i="29"/>
  <c r="L78" i="30"/>
  <c r="L79" i="30" s="1"/>
  <c r="L2" i="30"/>
  <c r="L162" i="30"/>
  <c r="I31" i="30"/>
  <c r="I42" i="30" s="1"/>
  <c r="J169" i="30"/>
  <c r="J36" i="30"/>
  <c r="J110" i="30"/>
  <c r="J29" i="30"/>
  <c r="J233" i="30"/>
  <c r="M232" i="30"/>
  <c r="M60" i="29"/>
  <c r="H193" i="30"/>
  <c r="H112" i="30"/>
  <c r="H23" i="30"/>
  <c r="J231" i="30"/>
  <c r="J108" i="30"/>
  <c r="K102" i="30"/>
  <c r="L215" i="30"/>
  <c r="L48" i="29"/>
  <c r="M163" i="30"/>
  <c r="L34" i="30"/>
  <c r="I186" i="30"/>
  <c r="I6" i="30"/>
  <c r="L206" i="28"/>
  <c r="L47" i="28" s="1"/>
  <c r="L46" i="27"/>
  <c r="J184" i="28"/>
  <c r="J21" i="28" s="1"/>
  <c r="J197" i="28"/>
  <c r="J183" i="28"/>
  <c r="J20" i="28" s="1"/>
  <c r="J179" i="28"/>
  <c r="J16" i="28" s="1"/>
  <c r="J175" i="28"/>
  <c r="J12" i="28" s="1"/>
  <c r="J182" i="28"/>
  <c r="J19" i="28" s="1"/>
  <c r="J178" i="28"/>
  <c r="J15" i="28" s="1"/>
  <c r="J174" i="28"/>
  <c r="J11" i="28" s="1"/>
  <c r="J170" i="28"/>
  <c r="J7" i="28" s="1"/>
  <c r="J181" i="28"/>
  <c r="J18" i="28" s="1"/>
  <c r="J177" i="28"/>
  <c r="J14" i="28" s="1"/>
  <c r="J173" i="28"/>
  <c r="J10" i="28" s="1"/>
  <c r="J164" i="28"/>
  <c r="J165" i="28" s="1"/>
  <c r="J180" i="28"/>
  <c r="J17" i="28" s="1"/>
  <c r="J176" i="28"/>
  <c r="J13" i="28" s="1"/>
  <c r="J172" i="28"/>
  <c r="J9" i="28" s="1"/>
  <c r="J171" i="28"/>
  <c r="J8" i="28" s="1"/>
  <c r="N163" i="28"/>
  <c r="M34" i="28"/>
  <c r="L215" i="28"/>
  <c r="L50" i="28" s="1"/>
  <c r="L48" i="27"/>
  <c r="K168" i="28"/>
  <c r="J5" i="28"/>
  <c r="H186" i="28"/>
  <c r="H6" i="28"/>
  <c r="H198" i="28"/>
  <c r="H199" i="28" s="1"/>
  <c r="I231" i="28"/>
  <c r="I108" i="28"/>
  <c r="J102" i="28"/>
  <c r="M232" i="28"/>
  <c r="M60" i="27"/>
  <c r="I29" i="28"/>
  <c r="I233" i="28"/>
  <c r="G193" i="28"/>
  <c r="G112" i="28"/>
  <c r="G23" i="28"/>
  <c r="H73" i="28"/>
  <c r="H40" i="28"/>
  <c r="K78" i="28"/>
  <c r="K79" i="28" s="1"/>
  <c r="L161" i="28"/>
  <c r="J61" i="27"/>
  <c r="K2" i="28"/>
  <c r="K162" i="28"/>
  <c r="I169" i="28"/>
  <c r="I110" i="28"/>
  <c r="I36" i="28"/>
  <c r="D231" i="20"/>
  <c r="D229" i="20"/>
  <c r="C237" i="20"/>
  <c r="C236" i="20"/>
  <c r="I193" i="20"/>
  <c r="J169" i="20"/>
  <c r="J186" i="20" s="1"/>
  <c r="K171" i="20"/>
  <c r="K175" i="20"/>
  <c r="K164" i="20"/>
  <c r="K165" i="20" s="1"/>
  <c r="K173" i="20"/>
  <c r="K177" i="20"/>
  <c r="K181" i="20"/>
  <c r="K176" i="20"/>
  <c r="K180" i="20"/>
  <c r="K183" i="20"/>
  <c r="K172" i="20"/>
  <c r="K182" i="20"/>
  <c r="K198" i="20"/>
  <c r="K199" i="20" s="1"/>
  <c r="K170" i="20"/>
  <c r="K178" i="20"/>
  <c r="K179" i="20"/>
  <c r="K184" i="20"/>
  <c r="K174" i="20"/>
  <c r="L162" i="20"/>
  <c r="M161" i="20"/>
  <c r="I23" i="26"/>
  <c r="G23" i="26"/>
  <c r="I43" i="26"/>
  <c r="E18" i="20"/>
  <c r="E14" i="20"/>
  <c r="E19" i="20"/>
  <c r="E9" i="20"/>
  <c r="G29" i="26"/>
  <c r="G28" i="26"/>
  <c r="G30" i="26"/>
  <c r="G27" i="26"/>
  <c r="G78" i="20"/>
  <c r="G79" i="20" s="1"/>
  <c r="G2" i="20"/>
  <c r="D36" i="20"/>
  <c r="D40" i="20" s="1"/>
  <c r="D110" i="20"/>
  <c r="F2" i="20"/>
  <c r="F78" i="20"/>
  <c r="F79" i="20" s="1"/>
  <c r="G103" i="20"/>
  <c r="D107" i="20"/>
  <c r="E102" i="20"/>
  <c r="D106" i="20"/>
  <c r="D108" i="20"/>
  <c r="D105" i="20"/>
  <c r="E10" i="20"/>
  <c r="E11" i="20"/>
  <c r="E30" i="20"/>
  <c r="E5" i="20"/>
  <c r="D30" i="20"/>
  <c r="F47" i="20"/>
  <c r="E61" i="23"/>
  <c r="F197" i="20" s="1"/>
  <c r="C23" i="20"/>
  <c r="C112" i="20"/>
  <c r="E29" i="20"/>
  <c r="G60" i="23"/>
  <c r="H232" i="20" s="1"/>
  <c r="I33" i="26"/>
  <c r="F61" i="23"/>
  <c r="G197" i="20" s="1"/>
  <c r="F10" i="20"/>
  <c r="F8" i="20"/>
  <c r="F9" i="20"/>
  <c r="F16" i="20"/>
  <c r="F21" i="20"/>
  <c r="F20" i="20"/>
  <c r="F7" i="20"/>
  <c r="F18" i="20"/>
  <c r="F17" i="20"/>
  <c r="F13" i="20"/>
  <c r="F12" i="20"/>
  <c r="F11" i="20"/>
  <c r="F14" i="20"/>
  <c r="F15" i="20"/>
  <c r="D6" i="20"/>
  <c r="G46" i="23"/>
  <c r="H206" i="20" s="1"/>
  <c r="G55" i="26" s="1"/>
  <c r="G34" i="20"/>
  <c r="D234" i="20" l="1"/>
  <c r="D235" i="20" s="1"/>
  <c r="F103" i="28"/>
  <c r="E229" i="28"/>
  <c r="E234" i="28" s="1"/>
  <c r="E235" i="28" s="1"/>
  <c r="E107" i="28"/>
  <c r="E106" i="28"/>
  <c r="E105" i="28"/>
  <c r="D207" i="20"/>
  <c r="D207" i="32"/>
  <c r="D48" i="32" s="1"/>
  <c r="D49" i="32" s="1"/>
  <c r="D207" i="30"/>
  <c r="D48" i="30" s="1"/>
  <c r="D49" i="30" s="1"/>
  <c r="D207" i="34"/>
  <c r="D48" i="34" s="1"/>
  <c r="D49" i="34" s="1"/>
  <c r="D207" i="28"/>
  <c r="D48" i="28" s="1"/>
  <c r="D49" i="28" s="1"/>
  <c r="D216" i="20"/>
  <c r="D216" i="28"/>
  <c r="D51" i="28" s="1"/>
  <c r="D52" i="28" s="1"/>
  <c r="D216" i="32"/>
  <c r="D51" i="32" s="1"/>
  <c r="D52" i="32" s="1"/>
  <c r="D216" i="34"/>
  <c r="D51" i="34" s="1"/>
  <c r="D52" i="34" s="1"/>
  <c r="D216" i="30"/>
  <c r="D51" i="30" s="1"/>
  <c r="D52" i="30" s="1"/>
  <c r="F103" i="32"/>
  <c r="E107" i="32"/>
  <c r="E106" i="32"/>
  <c r="E105" i="32"/>
  <c r="E229" i="32"/>
  <c r="E234" i="32" s="1"/>
  <c r="E235" i="32" s="1"/>
  <c r="E216" i="20"/>
  <c r="E216" i="32"/>
  <c r="E51" i="32" s="1"/>
  <c r="E52" i="32" s="1"/>
  <c r="E216" i="30"/>
  <c r="E51" i="30" s="1"/>
  <c r="E52" i="30" s="1"/>
  <c r="E216" i="34"/>
  <c r="E51" i="34" s="1"/>
  <c r="E52" i="34" s="1"/>
  <c r="E216" i="28"/>
  <c r="E51" i="28" s="1"/>
  <c r="E52" i="28" s="1"/>
  <c r="F103" i="30"/>
  <c r="E106" i="30"/>
  <c r="E229" i="30"/>
  <c r="E234" i="30" s="1"/>
  <c r="E235" i="30" s="1"/>
  <c r="E105" i="30"/>
  <c r="E107" i="30"/>
  <c r="D236" i="34"/>
  <c r="D237" i="34"/>
  <c r="D237" i="30"/>
  <c r="D236" i="30"/>
  <c r="H215" i="20"/>
  <c r="H48" i="23"/>
  <c r="F103" i="34"/>
  <c r="E107" i="34"/>
  <c r="E106" i="34"/>
  <c r="E105" i="34"/>
  <c r="E229" i="34"/>
  <c r="E234" i="34" s="1"/>
  <c r="E235" i="34" s="1"/>
  <c r="F216" i="20"/>
  <c r="F216" i="30"/>
  <c r="F51" i="30" s="1"/>
  <c r="F52" i="30" s="1"/>
  <c r="F216" i="32"/>
  <c r="F51" i="32" s="1"/>
  <c r="F52" i="32" s="1"/>
  <c r="F216" i="34"/>
  <c r="F51" i="34" s="1"/>
  <c r="F52" i="34" s="1"/>
  <c r="F216" i="28"/>
  <c r="F51" i="28" s="1"/>
  <c r="F52" i="28" s="1"/>
  <c r="D236" i="32"/>
  <c r="D237" i="32"/>
  <c r="I45" i="26"/>
  <c r="G50" i="20"/>
  <c r="D236" i="28"/>
  <c r="D237" i="28"/>
  <c r="J231" i="34"/>
  <c r="K102" i="34"/>
  <c r="J108" i="34"/>
  <c r="J198" i="34"/>
  <c r="J30" i="34" s="1"/>
  <c r="L168" i="34"/>
  <c r="K5" i="34"/>
  <c r="H193" i="34"/>
  <c r="H112" i="34"/>
  <c r="H23" i="34"/>
  <c r="L232" i="34"/>
  <c r="L60" i="33"/>
  <c r="J169" i="34"/>
  <c r="J36" i="34"/>
  <c r="J110" i="34"/>
  <c r="M206" i="34"/>
  <c r="M47" i="34" s="1"/>
  <c r="M46" i="33"/>
  <c r="I73" i="34"/>
  <c r="I40" i="34"/>
  <c r="L78" i="34"/>
  <c r="L79" i="34" s="1"/>
  <c r="K61" i="33"/>
  <c r="M161" i="34"/>
  <c r="L2" i="34"/>
  <c r="L162" i="34"/>
  <c r="N34" i="34"/>
  <c r="O163" i="34"/>
  <c r="J29" i="34"/>
  <c r="J233" i="34"/>
  <c r="I186" i="34"/>
  <c r="I6" i="34"/>
  <c r="K184" i="34"/>
  <c r="K21" i="34" s="1"/>
  <c r="K180" i="34"/>
  <c r="K17" i="34" s="1"/>
  <c r="K176" i="34"/>
  <c r="K13" i="34" s="1"/>
  <c r="K172" i="34"/>
  <c r="K9" i="34" s="1"/>
  <c r="K183" i="34"/>
  <c r="K20" i="34" s="1"/>
  <c r="K179" i="34"/>
  <c r="K16" i="34" s="1"/>
  <c r="K175" i="34"/>
  <c r="K12" i="34" s="1"/>
  <c r="K181" i="34"/>
  <c r="K18" i="34" s="1"/>
  <c r="K177" i="34"/>
  <c r="K14" i="34" s="1"/>
  <c r="K197" i="34"/>
  <c r="K171" i="34"/>
  <c r="K8" i="34" s="1"/>
  <c r="K182" i="34"/>
  <c r="K19" i="34" s="1"/>
  <c r="K178" i="34"/>
  <c r="K15" i="34" s="1"/>
  <c r="K170" i="34"/>
  <c r="K7" i="34" s="1"/>
  <c r="K174" i="34"/>
  <c r="K11" i="34" s="1"/>
  <c r="K173" i="34"/>
  <c r="K10" i="34" s="1"/>
  <c r="K164" i="34"/>
  <c r="K165" i="34" s="1"/>
  <c r="M48" i="33"/>
  <c r="M215" i="34"/>
  <c r="M50" i="34" s="1"/>
  <c r="M161" i="32"/>
  <c r="L78" i="32"/>
  <c r="L79" i="32" s="1"/>
  <c r="K61" i="31"/>
  <c r="L2" i="32"/>
  <c r="L162" i="32"/>
  <c r="M215" i="32"/>
  <c r="M50" i="32" s="1"/>
  <c r="M48" i="31"/>
  <c r="K197" i="32"/>
  <c r="K184" i="32"/>
  <c r="K21" i="32" s="1"/>
  <c r="K180" i="32"/>
  <c r="K17" i="32" s="1"/>
  <c r="K176" i="32"/>
  <c r="K13" i="32" s="1"/>
  <c r="K172" i="32"/>
  <c r="K9" i="32" s="1"/>
  <c r="K179" i="32"/>
  <c r="K16" i="32" s="1"/>
  <c r="K175" i="32"/>
  <c r="K12" i="32" s="1"/>
  <c r="K183" i="32"/>
  <c r="K20" i="32" s="1"/>
  <c r="K181" i="32"/>
  <c r="K18" i="32" s="1"/>
  <c r="K177" i="32"/>
  <c r="K14" i="32" s="1"/>
  <c r="K173" i="32"/>
  <c r="K10" i="32" s="1"/>
  <c r="K164" i="32"/>
  <c r="K165" i="32" s="1"/>
  <c r="K182" i="32"/>
  <c r="K19" i="32" s="1"/>
  <c r="K178" i="32"/>
  <c r="K15" i="32" s="1"/>
  <c r="K174" i="32"/>
  <c r="K11" i="32" s="1"/>
  <c r="K171" i="32"/>
  <c r="K8" i="32" s="1"/>
  <c r="K170" i="32"/>
  <c r="K7" i="32" s="1"/>
  <c r="I73" i="32"/>
  <c r="I40" i="32"/>
  <c r="H30" i="32"/>
  <c r="H31" i="32" s="1"/>
  <c r="H42" i="32" s="1"/>
  <c r="H200" i="32"/>
  <c r="H193" i="32"/>
  <c r="H112" i="32"/>
  <c r="H23" i="32"/>
  <c r="M206" i="32"/>
  <c r="M47" i="32" s="1"/>
  <c r="M46" i="31"/>
  <c r="I186" i="32"/>
  <c r="I6" i="32"/>
  <c r="H199" i="32"/>
  <c r="L232" i="32"/>
  <c r="L60" i="31"/>
  <c r="J29" i="32"/>
  <c r="J169" i="32"/>
  <c r="J110" i="32"/>
  <c r="J36" i="32"/>
  <c r="O163" i="32"/>
  <c r="N34" i="32"/>
  <c r="J231" i="32"/>
  <c r="K102" i="32"/>
  <c r="J108" i="32"/>
  <c r="L168" i="32"/>
  <c r="K5" i="32"/>
  <c r="N163" i="30"/>
  <c r="M34" i="30"/>
  <c r="K5" i="30"/>
  <c r="L168" i="30"/>
  <c r="M215" i="30"/>
  <c r="M48" i="29"/>
  <c r="M206" i="30"/>
  <c r="M46" i="29"/>
  <c r="N161" i="30"/>
  <c r="M78" i="30"/>
  <c r="M79" i="30" s="1"/>
  <c r="M2" i="30"/>
  <c r="L61" i="29"/>
  <c r="M162" i="30"/>
  <c r="K110" i="30"/>
  <c r="K169" i="30"/>
  <c r="K36" i="30"/>
  <c r="N232" i="30"/>
  <c r="N60" i="29"/>
  <c r="K231" i="30"/>
  <c r="L102" i="30"/>
  <c r="K108" i="30"/>
  <c r="J73" i="30"/>
  <c r="J40" i="30"/>
  <c r="I193" i="30"/>
  <c r="I23" i="30"/>
  <c r="I112" i="30"/>
  <c r="L50" i="30"/>
  <c r="J186" i="30"/>
  <c r="J6" i="30"/>
  <c r="L197" i="30"/>
  <c r="L183" i="30"/>
  <c r="L20" i="30" s="1"/>
  <c r="L179" i="30"/>
  <c r="L16" i="30" s="1"/>
  <c r="L175" i="30"/>
  <c r="L12" i="30" s="1"/>
  <c r="L181" i="30"/>
  <c r="L18" i="30" s="1"/>
  <c r="L177" i="30"/>
  <c r="L14" i="30" s="1"/>
  <c r="L173" i="30"/>
  <c r="L10" i="30" s="1"/>
  <c r="L171" i="30"/>
  <c r="L8" i="30" s="1"/>
  <c r="L182" i="30"/>
  <c r="L19" i="30" s="1"/>
  <c r="L178" i="30"/>
  <c r="L15" i="30" s="1"/>
  <c r="L174" i="30"/>
  <c r="L11" i="30" s="1"/>
  <c r="L184" i="30"/>
  <c r="L21" i="30" s="1"/>
  <c r="L180" i="30"/>
  <c r="L17" i="30" s="1"/>
  <c r="L176" i="30"/>
  <c r="L13" i="30" s="1"/>
  <c r="L172" i="30"/>
  <c r="L9" i="30" s="1"/>
  <c r="L164" i="30"/>
  <c r="L165" i="30" s="1"/>
  <c r="L170" i="30"/>
  <c r="L7" i="30" s="1"/>
  <c r="K29" i="30"/>
  <c r="K233" i="30"/>
  <c r="J198" i="30"/>
  <c r="J199" i="30" s="1"/>
  <c r="L47" i="30"/>
  <c r="M206" i="28"/>
  <c r="M47" i="28" s="1"/>
  <c r="M46" i="27"/>
  <c r="J231" i="28"/>
  <c r="J108" i="28"/>
  <c r="K102" i="28"/>
  <c r="K197" i="28"/>
  <c r="K182" i="28"/>
  <c r="K19" i="28" s="1"/>
  <c r="K178" i="28"/>
  <c r="K15" i="28" s="1"/>
  <c r="K183" i="28"/>
  <c r="K20" i="28" s="1"/>
  <c r="K181" i="28"/>
  <c r="K18" i="28" s="1"/>
  <c r="K177" i="28"/>
  <c r="K14" i="28" s="1"/>
  <c r="K173" i="28"/>
  <c r="K10" i="28" s="1"/>
  <c r="K184" i="28"/>
  <c r="K21" i="28" s="1"/>
  <c r="K180" i="28"/>
  <c r="K17" i="28" s="1"/>
  <c r="K176" i="28"/>
  <c r="K13" i="28" s="1"/>
  <c r="K172" i="28"/>
  <c r="K9" i="28" s="1"/>
  <c r="K174" i="28"/>
  <c r="K11" i="28" s="1"/>
  <c r="K170" i="28"/>
  <c r="K7" i="28" s="1"/>
  <c r="K179" i="28"/>
  <c r="K16" i="28" s="1"/>
  <c r="K175" i="28"/>
  <c r="K12" i="28" s="1"/>
  <c r="K171" i="28"/>
  <c r="K8" i="28" s="1"/>
  <c r="K164" i="28"/>
  <c r="K165" i="28" s="1"/>
  <c r="M161" i="28"/>
  <c r="L78" i="28"/>
  <c r="L79" i="28" s="1"/>
  <c r="L2" i="28"/>
  <c r="K61" i="27"/>
  <c r="L162" i="28"/>
  <c r="N232" i="28"/>
  <c r="N60" i="27"/>
  <c r="H193" i="28"/>
  <c r="H112" i="28"/>
  <c r="H23" i="28"/>
  <c r="L168" i="28"/>
  <c r="K5" i="28"/>
  <c r="I186" i="28"/>
  <c r="I6" i="28"/>
  <c r="H30" i="28"/>
  <c r="H31" i="28" s="1"/>
  <c r="H42" i="28" s="1"/>
  <c r="H200" i="28"/>
  <c r="O163" i="28"/>
  <c r="N34" i="28"/>
  <c r="I73" i="28"/>
  <c r="I40" i="28"/>
  <c r="J169" i="28"/>
  <c r="J110" i="28"/>
  <c r="J36" i="28"/>
  <c r="I198" i="28"/>
  <c r="M215" i="28"/>
  <c r="M50" i="28" s="1"/>
  <c r="M48" i="27"/>
  <c r="J29" i="28"/>
  <c r="J233" i="28"/>
  <c r="F233" i="20"/>
  <c r="G233" i="20"/>
  <c r="E231" i="20"/>
  <c r="E229" i="20"/>
  <c r="K169" i="20"/>
  <c r="K186" i="20" s="1"/>
  <c r="D236" i="20"/>
  <c r="D237" i="20"/>
  <c r="M162" i="20"/>
  <c r="N161" i="20"/>
  <c r="L170" i="20"/>
  <c r="L174" i="20"/>
  <c r="L172" i="20"/>
  <c r="L176" i="20"/>
  <c r="L180" i="20"/>
  <c r="L184" i="20"/>
  <c r="L173" i="20"/>
  <c r="L179" i="20"/>
  <c r="L177" i="20"/>
  <c r="L178" i="20"/>
  <c r="L171" i="20"/>
  <c r="L198" i="20"/>
  <c r="L199" i="20" s="1"/>
  <c r="L164" i="20"/>
  <c r="L165" i="20" s="1"/>
  <c r="L182" i="20"/>
  <c r="L183" i="20"/>
  <c r="L175" i="20"/>
  <c r="L181" i="20"/>
  <c r="J193" i="20"/>
  <c r="C49" i="20"/>
  <c r="F29" i="20"/>
  <c r="D48" i="20"/>
  <c r="D49" i="20" s="1"/>
  <c r="G33" i="26"/>
  <c r="D73" i="20"/>
  <c r="F19" i="20"/>
  <c r="G40" i="26"/>
  <c r="G39" i="26"/>
  <c r="G37" i="26"/>
  <c r="G38" i="26"/>
  <c r="F5" i="20"/>
  <c r="E36" i="20"/>
  <c r="E40" i="20" s="1"/>
  <c r="E110" i="20"/>
  <c r="H2" i="20"/>
  <c r="H78" i="20"/>
  <c r="H79" i="20" s="1"/>
  <c r="E106" i="20"/>
  <c r="E108" i="20"/>
  <c r="E107" i="20"/>
  <c r="F102" i="20"/>
  <c r="E105" i="20"/>
  <c r="H103" i="20"/>
  <c r="G47" i="20"/>
  <c r="F30" i="20"/>
  <c r="H60" i="23"/>
  <c r="I232" i="20" s="1"/>
  <c r="H46" i="23"/>
  <c r="I206" i="20" s="1"/>
  <c r="G65" i="26" s="1"/>
  <c r="E6" i="20"/>
  <c r="H34" i="20"/>
  <c r="G30" i="20"/>
  <c r="G61" i="23"/>
  <c r="H197" i="20" s="1"/>
  <c r="H200" i="20" s="1"/>
  <c r="G8" i="20"/>
  <c r="G17" i="20"/>
  <c r="G13" i="20"/>
  <c r="G12" i="20"/>
  <c r="G11" i="20"/>
  <c r="G9" i="20"/>
  <c r="G21" i="20"/>
  <c r="G20" i="20"/>
  <c r="G10" i="20"/>
  <c r="G16" i="20"/>
  <c r="G18" i="20"/>
  <c r="G7" i="20"/>
  <c r="G14" i="20"/>
  <c r="G19" i="20"/>
  <c r="G15" i="20"/>
  <c r="J31" i="34" l="1"/>
  <c r="J42" i="34" s="1"/>
  <c r="E234" i="20"/>
  <c r="E235" i="20" s="1"/>
  <c r="J200" i="34"/>
  <c r="J199" i="34"/>
  <c r="K198" i="34" s="1"/>
  <c r="K30" i="34" s="1"/>
  <c r="I215" i="20"/>
  <c r="I48" i="23"/>
  <c r="E237" i="34"/>
  <c r="E236" i="34"/>
  <c r="I55" i="26"/>
  <c r="H50" i="20"/>
  <c r="G103" i="32"/>
  <c r="F107" i="32"/>
  <c r="F229" i="32"/>
  <c r="F234" i="32" s="1"/>
  <c r="F235" i="32" s="1"/>
  <c r="F105" i="32"/>
  <c r="F106" i="32"/>
  <c r="G103" i="28"/>
  <c r="F106" i="28"/>
  <c r="F105" i="28"/>
  <c r="F229" i="28"/>
  <c r="F234" i="28" s="1"/>
  <c r="F235" i="28" s="1"/>
  <c r="F107" i="28"/>
  <c r="E237" i="30"/>
  <c r="E236" i="30"/>
  <c r="E207" i="20"/>
  <c r="E48" i="20" s="1"/>
  <c r="E207" i="32"/>
  <c r="E48" i="32" s="1"/>
  <c r="E49" i="32" s="1"/>
  <c r="E207" i="30"/>
  <c r="E48" i="30" s="1"/>
  <c r="E49" i="30" s="1"/>
  <c r="E207" i="34"/>
  <c r="E48" i="34" s="1"/>
  <c r="E49" i="34" s="1"/>
  <c r="E207" i="28"/>
  <c r="E48" i="28" s="1"/>
  <c r="E49" i="28" s="1"/>
  <c r="E237" i="28"/>
  <c r="E236" i="28"/>
  <c r="I48" i="26"/>
  <c r="I47" i="26"/>
  <c r="I49" i="26"/>
  <c r="I50" i="26"/>
  <c r="G103" i="34"/>
  <c r="F106" i="34"/>
  <c r="F105" i="34"/>
  <c r="F107" i="34"/>
  <c r="F229" i="34"/>
  <c r="F234" i="34" s="1"/>
  <c r="F235" i="34" s="1"/>
  <c r="E236" i="32"/>
  <c r="E237" i="32"/>
  <c r="G103" i="30"/>
  <c r="F229" i="30"/>
  <c r="F234" i="30" s="1"/>
  <c r="F235" i="30" s="1"/>
  <c r="F106" i="30"/>
  <c r="F107" i="30"/>
  <c r="F105" i="30"/>
  <c r="L197" i="34"/>
  <c r="L183" i="34"/>
  <c r="L20" i="34" s="1"/>
  <c r="L179" i="34"/>
  <c r="L16" i="34" s="1"/>
  <c r="L175" i="34"/>
  <c r="L12" i="34" s="1"/>
  <c r="L171" i="34"/>
  <c r="L8" i="34" s="1"/>
  <c r="L182" i="34"/>
  <c r="L19" i="34" s="1"/>
  <c r="L178" i="34"/>
  <c r="L15" i="34" s="1"/>
  <c r="L184" i="34"/>
  <c r="L21" i="34" s="1"/>
  <c r="L180" i="34"/>
  <c r="L17" i="34" s="1"/>
  <c r="L176" i="34"/>
  <c r="L13" i="34" s="1"/>
  <c r="L174" i="34"/>
  <c r="L11" i="34" s="1"/>
  <c r="L173" i="34"/>
  <c r="L10" i="34" s="1"/>
  <c r="L181" i="34"/>
  <c r="L18" i="34" s="1"/>
  <c r="L177" i="34"/>
  <c r="L14" i="34" s="1"/>
  <c r="L172" i="34"/>
  <c r="L9" i="34" s="1"/>
  <c r="L164" i="34"/>
  <c r="L165" i="34" s="1"/>
  <c r="L170" i="34"/>
  <c r="L7" i="34" s="1"/>
  <c r="J186" i="34"/>
  <c r="J6" i="34"/>
  <c r="N215" i="34"/>
  <c r="N50" i="34" s="1"/>
  <c r="N48" i="33"/>
  <c r="N161" i="34"/>
  <c r="M2" i="34"/>
  <c r="M78" i="34"/>
  <c r="M79" i="34" s="1"/>
  <c r="L61" i="33"/>
  <c r="M162" i="34"/>
  <c r="J40" i="34"/>
  <c r="J73" i="34"/>
  <c r="M168" i="34"/>
  <c r="L5" i="34"/>
  <c r="K231" i="34"/>
  <c r="K108" i="34"/>
  <c r="L102" i="34"/>
  <c r="P163" i="34"/>
  <c r="O34" i="34"/>
  <c r="N206" i="34"/>
  <c r="N47" i="34" s="1"/>
  <c r="N46" i="33"/>
  <c r="M232" i="34"/>
  <c r="M60" i="33"/>
  <c r="K169" i="34"/>
  <c r="K110" i="34"/>
  <c r="K36" i="34"/>
  <c r="K29" i="34"/>
  <c r="K233" i="34"/>
  <c r="I193" i="34"/>
  <c r="I112" i="34"/>
  <c r="I23" i="34"/>
  <c r="M168" i="32"/>
  <c r="L5" i="32"/>
  <c r="K231" i="32"/>
  <c r="L102" i="32"/>
  <c r="K108" i="32"/>
  <c r="J40" i="32"/>
  <c r="J73" i="32"/>
  <c r="K169" i="32"/>
  <c r="K36" i="32"/>
  <c r="K110" i="32"/>
  <c r="L197" i="32"/>
  <c r="L183" i="32"/>
  <c r="L20" i="32" s="1"/>
  <c r="L179" i="32"/>
  <c r="L16" i="32" s="1"/>
  <c r="L175" i="32"/>
  <c r="L12" i="32" s="1"/>
  <c r="L171" i="32"/>
  <c r="L8" i="32" s="1"/>
  <c r="L182" i="32"/>
  <c r="L19" i="32" s="1"/>
  <c r="L178" i="32"/>
  <c r="L15" i="32" s="1"/>
  <c r="L174" i="32"/>
  <c r="L11" i="32" s="1"/>
  <c r="L180" i="32"/>
  <c r="L17" i="32" s="1"/>
  <c r="L176" i="32"/>
  <c r="L13" i="32" s="1"/>
  <c r="L172" i="32"/>
  <c r="L9" i="32" s="1"/>
  <c r="L170" i="32"/>
  <c r="L7" i="32" s="1"/>
  <c r="L164" i="32"/>
  <c r="L165" i="32" s="1"/>
  <c r="L184" i="32"/>
  <c r="L21" i="32" s="1"/>
  <c r="L181" i="32"/>
  <c r="L18" i="32" s="1"/>
  <c r="L177" i="32"/>
  <c r="L14" i="32" s="1"/>
  <c r="L173" i="32"/>
  <c r="L10" i="32" s="1"/>
  <c r="P163" i="32"/>
  <c r="O34" i="32"/>
  <c r="M232" i="32"/>
  <c r="M60" i="31"/>
  <c r="N215" i="32"/>
  <c r="N50" i="32" s="1"/>
  <c r="N48" i="31"/>
  <c r="M78" i="32"/>
  <c r="M79" i="32" s="1"/>
  <c r="N161" i="32"/>
  <c r="M2" i="32"/>
  <c r="L61" i="31"/>
  <c r="M162" i="32"/>
  <c r="J186" i="32"/>
  <c r="J6" i="32"/>
  <c r="I198" i="32"/>
  <c r="I199" i="32" s="1"/>
  <c r="I193" i="32"/>
  <c r="I112" i="32"/>
  <c r="I23" i="32"/>
  <c r="N206" i="32"/>
  <c r="N47" i="32" s="1"/>
  <c r="N46" i="31"/>
  <c r="K29" i="32"/>
  <c r="K233" i="32"/>
  <c r="K198" i="30"/>
  <c r="K199" i="30" s="1"/>
  <c r="M182" i="30"/>
  <c r="M19" i="30" s="1"/>
  <c r="M178" i="30"/>
  <c r="M15" i="30" s="1"/>
  <c r="M174" i="30"/>
  <c r="M11" i="30" s="1"/>
  <c r="M197" i="30"/>
  <c r="M184" i="30"/>
  <c r="M21" i="30" s="1"/>
  <c r="M180" i="30"/>
  <c r="M17" i="30" s="1"/>
  <c r="M176" i="30"/>
  <c r="M13" i="30" s="1"/>
  <c r="M172" i="30"/>
  <c r="M9" i="30" s="1"/>
  <c r="M170" i="30"/>
  <c r="M7" i="30" s="1"/>
  <c r="M183" i="30"/>
  <c r="M20" i="30" s="1"/>
  <c r="M171" i="30"/>
  <c r="M8" i="30" s="1"/>
  <c r="M181" i="30"/>
  <c r="M18" i="30" s="1"/>
  <c r="M179" i="30"/>
  <c r="M16" i="30" s="1"/>
  <c r="M177" i="30"/>
  <c r="M14" i="30" s="1"/>
  <c r="M175" i="30"/>
  <c r="M12" i="30" s="1"/>
  <c r="M173" i="30"/>
  <c r="M10" i="30" s="1"/>
  <c r="M164" i="30"/>
  <c r="M165" i="30" s="1"/>
  <c r="N206" i="30"/>
  <c r="N47" i="30" s="1"/>
  <c r="N46" i="29"/>
  <c r="M168" i="30"/>
  <c r="L5" i="30"/>
  <c r="O232" i="30"/>
  <c r="O60" i="29"/>
  <c r="M47" i="30"/>
  <c r="J30" i="30"/>
  <c r="J31" i="30" s="1"/>
  <c r="J42" i="30" s="1"/>
  <c r="J200" i="30"/>
  <c r="K186" i="30"/>
  <c r="K6" i="30"/>
  <c r="M50" i="30"/>
  <c r="M61" i="29"/>
  <c r="N78" i="30"/>
  <c r="N79" i="30" s="1"/>
  <c r="O161" i="30"/>
  <c r="N2" i="30"/>
  <c r="N162" i="30"/>
  <c r="J112" i="30"/>
  <c r="J23" i="30"/>
  <c r="J193" i="30"/>
  <c r="L169" i="30"/>
  <c r="L36" i="30"/>
  <c r="L110" i="30"/>
  <c r="L29" i="30"/>
  <c r="L233" i="30"/>
  <c r="L231" i="30"/>
  <c r="L108" i="30"/>
  <c r="M102" i="30"/>
  <c r="K73" i="30"/>
  <c r="K40" i="30"/>
  <c r="N215" i="30"/>
  <c r="N50" i="30" s="1"/>
  <c r="N48" i="29"/>
  <c r="O163" i="30"/>
  <c r="N34" i="30"/>
  <c r="N46" i="27"/>
  <c r="N206" i="28"/>
  <c r="N47" i="28" s="1"/>
  <c r="I30" i="28"/>
  <c r="I31" i="28" s="1"/>
  <c r="I42" i="28" s="1"/>
  <c r="I200" i="28"/>
  <c r="O232" i="28"/>
  <c r="O60" i="27"/>
  <c r="L197" i="28"/>
  <c r="L183" i="28"/>
  <c r="L20" i="28" s="1"/>
  <c r="L181" i="28"/>
  <c r="L18" i="28" s="1"/>
  <c r="L177" i="28"/>
  <c r="L14" i="28" s="1"/>
  <c r="L184" i="28"/>
  <c r="L21" i="28" s="1"/>
  <c r="L180" i="28"/>
  <c r="L17" i="28" s="1"/>
  <c r="L176" i="28"/>
  <c r="L13" i="28" s="1"/>
  <c r="L172" i="28"/>
  <c r="L9" i="28" s="1"/>
  <c r="L179" i="28"/>
  <c r="L16" i="28" s="1"/>
  <c r="L175" i="28"/>
  <c r="L12" i="28" s="1"/>
  <c r="L171" i="28"/>
  <c r="L8" i="28" s="1"/>
  <c r="L173" i="28"/>
  <c r="L10" i="28" s="1"/>
  <c r="L182" i="28"/>
  <c r="L19" i="28" s="1"/>
  <c r="L178" i="28"/>
  <c r="L15" i="28" s="1"/>
  <c r="L164" i="28"/>
  <c r="L165" i="28" s="1"/>
  <c r="L174" i="28"/>
  <c r="L11" i="28" s="1"/>
  <c r="L170" i="28"/>
  <c r="L7" i="28" s="1"/>
  <c r="K110" i="28"/>
  <c r="K36" i="28"/>
  <c r="K169" i="28"/>
  <c r="I199" i="28"/>
  <c r="I193" i="28"/>
  <c r="I112" i="28"/>
  <c r="I23" i="28"/>
  <c r="K29" i="28"/>
  <c r="K233" i="28"/>
  <c r="J186" i="28"/>
  <c r="J6" i="28"/>
  <c r="P163" i="28"/>
  <c r="O34" i="28"/>
  <c r="M168" i="28"/>
  <c r="L5" i="28"/>
  <c r="J73" i="28"/>
  <c r="J40" i="28"/>
  <c r="N215" i="28"/>
  <c r="N50" i="28" s="1"/>
  <c r="N48" i="27"/>
  <c r="N161" i="28"/>
  <c r="M78" i="28"/>
  <c r="M79" i="28" s="1"/>
  <c r="M2" i="28"/>
  <c r="L61" i="27"/>
  <c r="M162" i="28"/>
  <c r="K231" i="28"/>
  <c r="K108" i="28"/>
  <c r="L102" i="28"/>
  <c r="E237" i="20"/>
  <c r="E236" i="20"/>
  <c r="L169" i="20"/>
  <c r="L186" i="20" s="1"/>
  <c r="O161" i="20"/>
  <c r="N162" i="20"/>
  <c r="K193" i="20"/>
  <c r="H233" i="20"/>
  <c r="M164" i="20"/>
  <c r="M165" i="20" s="1"/>
  <c r="M173" i="20"/>
  <c r="M177" i="20"/>
  <c r="M171" i="20"/>
  <c r="M175" i="20"/>
  <c r="M179" i="20"/>
  <c r="M183" i="20"/>
  <c r="M170" i="20"/>
  <c r="M182" i="20"/>
  <c r="M198" i="20"/>
  <c r="M199" i="20" s="1"/>
  <c r="M174" i="20"/>
  <c r="M181" i="20"/>
  <c r="M184" i="20"/>
  <c r="M172" i="20"/>
  <c r="M176" i="20"/>
  <c r="M180" i="20"/>
  <c r="M178" i="20"/>
  <c r="F231" i="20"/>
  <c r="F229" i="20"/>
  <c r="F51" i="20"/>
  <c r="F52" i="20" s="1"/>
  <c r="D51" i="20"/>
  <c r="D52" i="20" s="1"/>
  <c r="E51" i="20"/>
  <c r="E52" i="20" s="1"/>
  <c r="G43" i="26"/>
  <c r="G50" i="26"/>
  <c r="G49" i="26"/>
  <c r="G47" i="26"/>
  <c r="G48" i="26"/>
  <c r="I2" i="20"/>
  <c r="I78" i="20"/>
  <c r="I79" i="20" s="1"/>
  <c r="F36" i="20"/>
  <c r="F73" i="20" s="1"/>
  <c r="F110" i="20"/>
  <c r="D23" i="20"/>
  <c r="D112" i="20"/>
  <c r="E73" i="20"/>
  <c r="H47" i="20"/>
  <c r="F106" i="20"/>
  <c r="F107" i="20"/>
  <c r="G102" i="20"/>
  <c r="F108" i="20"/>
  <c r="F105" i="20"/>
  <c r="I103" i="20"/>
  <c r="J103" i="20" s="1"/>
  <c r="G5" i="20"/>
  <c r="G29" i="20"/>
  <c r="I60" i="23"/>
  <c r="J232" i="20" s="1"/>
  <c r="I46" i="23"/>
  <c r="J206" i="20" s="1"/>
  <c r="G75" i="26" s="1"/>
  <c r="F6" i="20"/>
  <c r="H10" i="20"/>
  <c r="H8" i="20"/>
  <c r="H17" i="20"/>
  <c r="H16" i="20"/>
  <c r="H19" i="20"/>
  <c r="H18" i="20"/>
  <c r="H15" i="20"/>
  <c r="H9" i="20"/>
  <c r="H12" i="20"/>
  <c r="H11" i="20"/>
  <c r="H21" i="20"/>
  <c r="H20" i="20"/>
  <c r="H13" i="20"/>
  <c r="H7" i="20"/>
  <c r="H14" i="20"/>
  <c r="H30" i="20"/>
  <c r="H61" i="23"/>
  <c r="I197" i="20" s="1"/>
  <c r="I34" i="20"/>
  <c r="K31" i="34" l="1"/>
  <c r="K42" i="34" s="1"/>
  <c r="F236" i="30"/>
  <c r="F237" i="30"/>
  <c r="K200" i="34"/>
  <c r="H103" i="30"/>
  <c r="G105" i="30"/>
  <c r="G229" i="30"/>
  <c r="G234" i="30" s="1"/>
  <c r="G235" i="30" s="1"/>
  <c r="G107" i="30"/>
  <c r="G106" i="30"/>
  <c r="I53" i="26"/>
  <c r="F236" i="34"/>
  <c r="F237" i="34"/>
  <c r="F236" i="28"/>
  <c r="F237" i="28"/>
  <c r="F236" i="32"/>
  <c r="F237" i="32"/>
  <c r="I65" i="26"/>
  <c r="I50" i="20"/>
  <c r="H103" i="28"/>
  <c r="G105" i="28"/>
  <c r="G107" i="28"/>
  <c r="G229" i="28"/>
  <c r="G234" i="28" s="1"/>
  <c r="G235" i="28" s="1"/>
  <c r="G106" i="28"/>
  <c r="I59" i="26"/>
  <c r="I60" i="26"/>
  <c r="I57" i="26"/>
  <c r="I58" i="26"/>
  <c r="H103" i="34"/>
  <c r="G107" i="34"/>
  <c r="G106" i="34"/>
  <c r="G105" i="34"/>
  <c r="G229" i="34"/>
  <c r="G234" i="34" s="1"/>
  <c r="G235" i="34" s="1"/>
  <c r="H103" i="32"/>
  <c r="G105" i="32"/>
  <c r="G106" i="32"/>
  <c r="G229" i="32"/>
  <c r="G234" i="32" s="1"/>
  <c r="G235" i="32" s="1"/>
  <c r="G107" i="32"/>
  <c r="K199" i="34"/>
  <c r="L198" i="34" s="1"/>
  <c r="L30" i="34" s="1"/>
  <c r="J215" i="20"/>
  <c r="J48" i="23"/>
  <c r="F207" i="20"/>
  <c r="F48" i="20" s="1"/>
  <c r="F207" i="32"/>
  <c r="F48" i="32" s="1"/>
  <c r="F49" i="32" s="1"/>
  <c r="F207" i="30"/>
  <c r="F48" i="30" s="1"/>
  <c r="F49" i="30" s="1"/>
  <c r="F207" i="34"/>
  <c r="F48" i="34" s="1"/>
  <c r="F49" i="34" s="1"/>
  <c r="F207" i="28"/>
  <c r="F48" i="28" s="1"/>
  <c r="F49" i="28" s="1"/>
  <c r="F234" i="20"/>
  <c r="F235" i="20" s="1"/>
  <c r="F237" i="20" s="1"/>
  <c r="L231" i="34"/>
  <c r="L108" i="34"/>
  <c r="M102" i="34"/>
  <c r="O215" i="34"/>
  <c r="O50" i="34" s="1"/>
  <c r="O48" i="33"/>
  <c r="Q163" i="34"/>
  <c r="Q34" i="34" s="1"/>
  <c r="P34" i="34"/>
  <c r="M182" i="34"/>
  <c r="M19" i="34" s="1"/>
  <c r="M178" i="34"/>
  <c r="M15" i="34" s="1"/>
  <c r="M174" i="34"/>
  <c r="M11" i="34" s="1"/>
  <c r="M170" i="34"/>
  <c r="M7" i="34" s="1"/>
  <c r="M197" i="34"/>
  <c r="M183" i="34"/>
  <c r="M20" i="34" s="1"/>
  <c r="M179" i="34"/>
  <c r="M16" i="34" s="1"/>
  <c r="M175" i="34"/>
  <c r="M12" i="34" s="1"/>
  <c r="M181" i="34"/>
  <c r="M18" i="34" s="1"/>
  <c r="M177" i="34"/>
  <c r="M14" i="34" s="1"/>
  <c r="M172" i="34"/>
  <c r="M9" i="34" s="1"/>
  <c r="M173" i="34"/>
  <c r="M10" i="34" s="1"/>
  <c r="M184" i="34"/>
  <c r="M21" i="34" s="1"/>
  <c r="M180" i="34"/>
  <c r="M17" i="34" s="1"/>
  <c r="M176" i="34"/>
  <c r="M13" i="34" s="1"/>
  <c r="M164" i="34"/>
  <c r="M165" i="34" s="1"/>
  <c r="M171" i="34"/>
  <c r="M8" i="34" s="1"/>
  <c r="O161" i="34"/>
  <c r="M61" i="33"/>
  <c r="N78" i="34"/>
  <c r="N79" i="34" s="1"/>
  <c r="N2" i="34"/>
  <c r="N162" i="34"/>
  <c r="K73" i="34"/>
  <c r="K40" i="34"/>
  <c r="N232" i="34"/>
  <c r="N60" i="33"/>
  <c r="M5" i="34"/>
  <c r="N168" i="34"/>
  <c r="L169" i="34"/>
  <c r="L110" i="34"/>
  <c r="L36" i="34"/>
  <c r="L29" i="34"/>
  <c r="L233" i="34"/>
  <c r="K186" i="34"/>
  <c r="K6" i="34"/>
  <c r="O206" i="34"/>
  <c r="O47" i="34" s="1"/>
  <c r="O46" i="33"/>
  <c r="J193" i="34"/>
  <c r="J112" i="34"/>
  <c r="J23" i="34"/>
  <c r="J193" i="32"/>
  <c r="J112" i="32"/>
  <c r="J23" i="32"/>
  <c r="M184" i="32"/>
  <c r="M21" i="32" s="1"/>
  <c r="M182" i="32"/>
  <c r="M19" i="32" s="1"/>
  <c r="M178" i="32"/>
  <c r="M15" i="32" s="1"/>
  <c r="M174" i="32"/>
  <c r="M11" i="32" s="1"/>
  <c r="M170" i="32"/>
  <c r="M7" i="32" s="1"/>
  <c r="M197" i="32"/>
  <c r="M179" i="32"/>
  <c r="M16" i="32" s="1"/>
  <c r="M175" i="32"/>
  <c r="M12" i="32" s="1"/>
  <c r="M171" i="32"/>
  <c r="M8" i="32" s="1"/>
  <c r="M183" i="32"/>
  <c r="M20" i="32" s="1"/>
  <c r="M181" i="32"/>
  <c r="M18" i="32" s="1"/>
  <c r="M177" i="32"/>
  <c r="M14" i="32" s="1"/>
  <c r="M173" i="32"/>
  <c r="M10" i="32" s="1"/>
  <c r="M180" i="32"/>
  <c r="M17" i="32" s="1"/>
  <c r="M176" i="32"/>
  <c r="M13" i="32" s="1"/>
  <c r="M172" i="32"/>
  <c r="M9" i="32" s="1"/>
  <c r="M164" i="32"/>
  <c r="M165" i="32" s="1"/>
  <c r="O215" i="32"/>
  <c r="O50" i="32" s="1"/>
  <c r="O48" i="31"/>
  <c r="Q163" i="32"/>
  <c r="Q34" i="32" s="1"/>
  <c r="P34" i="32"/>
  <c r="K186" i="32"/>
  <c r="K6" i="32"/>
  <c r="O206" i="32"/>
  <c r="O47" i="32" s="1"/>
  <c r="O46" i="31"/>
  <c r="I30" i="32"/>
  <c r="I31" i="32" s="1"/>
  <c r="I42" i="32" s="1"/>
  <c r="I200" i="32"/>
  <c r="N232" i="32"/>
  <c r="N60" i="31"/>
  <c r="L169" i="32"/>
  <c r="L110" i="32"/>
  <c r="L36" i="32"/>
  <c r="L231" i="32"/>
  <c r="L108" i="32"/>
  <c r="M102" i="32"/>
  <c r="J198" i="32"/>
  <c r="J199" i="32" s="1"/>
  <c r="L29" i="32"/>
  <c r="L233" i="32"/>
  <c r="O161" i="32"/>
  <c r="N78" i="32"/>
  <c r="N79" i="32" s="1"/>
  <c r="M61" i="31"/>
  <c r="N2" i="32"/>
  <c r="N162" i="32"/>
  <c r="K73" i="32"/>
  <c r="K40" i="32"/>
  <c r="N168" i="32"/>
  <c r="M5" i="32"/>
  <c r="L198" i="30"/>
  <c r="L199" i="30" s="1"/>
  <c r="K193" i="30"/>
  <c r="K23" i="30"/>
  <c r="K112" i="30"/>
  <c r="P232" i="30"/>
  <c r="P60" i="29"/>
  <c r="Q232" i="30" s="1"/>
  <c r="O206" i="30"/>
  <c r="O47" i="30" s="1"/>
  <c r="O46" i="29"/>
  <c r="M29" i="30"/>
  <c r="M233" i="30"/>
  <c r="P163" i="30"/>
  <c r="O34" i="30"/>
  <c r="O215" i="30"/>
  <c r="O50" i="30" s="1"/>
  <c r="O48" i="29"/>
  <c r="L186" i="30"/>
  <c r="L6" i="30"/>
  <c r="N168" i="30"/>
  <c r="M5" i="30"/>
  <c r="M169" i="30"/>
  <c r="M110" i="30"/>
  <c r="M36" i="30"/>
  <c r="P161" i="30"/>
  <c r="O78" i="30"/>
  <c r="O79" i="30" s="1"/>
  <c r="O2" i="30"/>
  <c r="N61" i="29"/>
  <c r="O162" i="30"/>
  <c r="K30" i="30"/>
  <c r="K31" i="30" s="1"/>
  <c r="K42" i="30" s="1"/>
  <c r="K200" i="30"/>
  <c r="L40" i="30"/>
  <c r="L73" i="30"/>
  <c r="N197" i="30"/>
  <c r="N181" i="30"/>
  <c r="N18" i="30" s="1"/>
  <c r="N177" i="30"/>
  <c r="N14" i="30" s="1"/>
  <c r="N173" i="30"/>
  <c r="N10" i="30" s="1"/>
  <c r="N183" i="30"/>
  <c r="N20" i="30" s="1"/>
  <c r="N179" i="30"/>
  <c r="N16" i="30" s="1"/>
  <c r="N175" i="30"/>
  <c r="N12" i="30" s="1"/>
  <c r="N164" i="30"/>
  <c r="N165" i="30" s="1"/>
  <c r="N180" i="30"/>
  <c r="N17" i="30" s="1"/>
  <c r="N176" i="30"/>
  <c r="N13" i="30" s="1"/>
  <c r="N172" i="30"/>
  <c r="N9" i="30" s="1"/>
  <c r="N170" i="30"/>
  <c r="N7" i="30" s="1"/>
  <c r="N171" i="30"/>
  <c r="N8" i="30" s="1"/>
  <c r="N184" i="30"/>
  <c r="N21" i="30" s="1"/>
  <c r="N182" i="30"/>
  <c r="N19" i="30" s="1"/>
  <c r="N178" i="30"/>
  <c r="N15" i="30" s="1"/>
  <c r="N174" i="30"/>
  <c r="N11" i="30" s="1"/>
  <c r="M231" i="30"/>
  <c r="N102" i="30"/>
  <c r="M108" i="30"/>
  <c r="O206" i="28"/>
  <c r="O47" i="28" s="1"/>
  <c r="O46" i="27"/>
  <c r="N168" i="28"/>
  <c r="M5" i="28"/>
  <c r="K40" i="28"/>
  <c r="K73" i="28"/>
  <c r="P232" i="28"/>
  <c r="P60" i="27"/>
  <c r="Q232" i="28" s="1"/>
  <c r="L231" i="28"/>
  <c r="M102" i="28"/>
  <c r="L108" i="28"/>
  <c r="O215" i="28"/>
  <c r="O50" i="28" s="1"/>
  <c r="O48" i="27"/>
  <c r="J193" i="28"/>
  <c r="J112" i="28"/>
  <c r="J23" i="28"/>
  <c r="L29" i="28"/>
  <c r="L233" i="28"/>
  <c r="J198" i="28"/>
  <c r="M184" i="28"/>
  <c r="M21" i="28" s="1"/>
  <c r="M180" i="28"/>
  <c r="M17" i="28" s="1"/>
  <c r="M176" i="28"/>
  <c r="M13" i="28" s="1"/>
  <c r="M179" i="28"/>
  <c r="M16" i="28" s="1"/>
  <c r="M175" i="28"/>
  <c r="M12" i="28" s="1"/>
  <c r="M171" i="28"/>
  <c r="M8" i="28" s="1"/>
  <c r="M182" i="28"/>
  <c r="M19" i="28" s="1"/>
  <c r="M178" i="28"/>
  <c r="M15" i="28" s="1"/>
  <c r="M174" i="28"/>
  <c r="M11" i="28" s="1"/>
  <c r="M170" i="28"/>
  <c r="M7" i="28" s="1"/>
  <c r="M173" i="28"/>
  <c r="M10" i="28" s="1"/>
  <c r="M197" i="28"/>
  <c r="M183" i="28"/>
  <c r="M20" i="28" s="1"/>
  <c r="M172" i="28"/>
  <c r="M9" i="28" s="1"/>
  <c r="M164" i="28"/>
  <c r="M165" i="28" s="1"/>
  <c r="M177" i="28"/>
  <c r="M14" i="28" s="1"/>
  <c r="M181" i="28"/>
  <c r="M18" i="28" s="1"/>
  <c r="Q163" i="28"/>
  <c r="Q34" i="28" s="1"/>
  <c r="P34" i="28"/>
  <c r="L169" i="28"/>
  <c r="L110" i="28"/>
  <c r="L36" i="28"/>
  <c r="O161" i="28"/>
  <c r="N78" i="28"/>
  <c r="N79" i="28" s="1"/>
  <c r="M61" i="27"/>
  <c r="N2" i="28"/>
  <c r="N162" i="28"/>
  <c r="K186" i="28"/>
  <c r="K6" i="28"/>
  <c r="M169" i="20"/>
  <c r="M186" i="20" s="1"/>
  <c r="N172" i="20"/>
  <c r="N176" i="20"/>
  <c r="N164" i="20"/>
  <c r="N165" i="20" s="1"/>
  <c r="N170" i="20"/>
  <c r="N174" i="20"/>
  <c r="N178" i="20"/>
  <c r="N182" i="20"/>
  <c r="N175" i="20"/>
  <c r="N171" i="20"/>
  <c r="N180" i="20"/>
  <c r="N183" i="20"/>
  <c r="N173" i="20"/>
  <c r="N177" i="20"/>
  <c r="N181" i="20"/>
  <c r="N184" i="20"/>
  <c r="N179" i="20"/>
  <c r="N198" i="20"/>
  <c r="N199" i="20" s="1"/>
  <c r="I200" i="20"/>
  <c r="I233" i="20"/>
  <c r="P161" i="20"/>
  <c r="O162" i="20"/>
  <c r="L193" i="20"/>
  <c r="G229" i="20"/>
  <c r="G231" i="20"/>
  <c r="E49" i="20"/>
  <c r="F40" i="20"/>
  <c r="G53" i="26"/>
  <c r="G58" i="26"/>
  <c r="G57" i="26"/>
  <c r="G59" i="26"/>
  <c r="G60" i="26"/>
  <c r="J2" i="20"/>
  <c r="J78" i="20"/>
  <c r="J79" i="20" s="1"/>
  <c r="K103" i="20"/>
  <c r="G36" i="20"/>
  <c r="G73" i="20" s="1"/>
  <c r="G110" i="20"/>
  <c r="H5" i="20"/>
  <c r="G108" i="20"/>
  <c r="G106" i="20"/>
  <c r="H102" i="20"/>
  <c r="G107" i="20"/>
  <c r="G105" i="20"/>
  <c r="E23" i="20"/>
  <c r="E112" i="20"/>
  <c r="I47" i="20"/>
  <c r="H29" i="20"/>
  <c r="H31" i="20" s="1"/>
  <c r="H42" i="20" s="1"/>
  <c r="J60" i="23"/>
  <c r="K232" i="20" s="1"/>
  <c r="J46" i="23"/>
  <c r="K206" i="20" s="1"/>
  <c r="G85" i="26" s="1"/>
  <c r="I21" i="20"/>
  <c r="I20" i="20"/>
  <c r="I16" i="20"/>
  <c r="I19" i="20"/>
  <c r="I18" i="20"/>
  <c r="I15" i="20"/>
  <c r="I10" i="20"/>
  <c r="I9" i="20"/>
  <c r="I7" i="20"/>
  <c r="I8" i="20"/>
  <c r="I13" i="20"/>
  <c r="I12" i="20"/>
  <c r="I17" i="20"/>
  <c r="I14" i="20"/>
  <c r="I11" i="20"/>
  <c r="I30" i="20"/>
  <c r="G6" i="20"/>
  <c r="I61" i="23"/>
  <c r="J197" i="20" s="1"/>
  <c r="J34" i="20"/>
  <c r="G234" i="20" l="1"/>
  <c r="G235" i="20" s="1"/>
  <c r="G237" i="20" s="1"/>
  <c r="K215" i="20"/>
  <c r="K48" i="23"/>
  <c r="I103" i="32"/>
  <c r="H229" i="32"/>
  <c r="H234" i="32" s="1"/>
  <c r="H235" i="32" s="1"/>
  <c r="H107" i="32"/>
  <c r="H106" i="32"/>
  <c r="H105" i="32"/>
  <c r="I103" i="30"/>
  <c r="H106" i="30"/>
  <c r="H107" i="30"/>
  <c r="H105" i="30"/>
  <c r="H229" i="30"/>
  <c r="H234" i="30" s="1"/>
  <c r="H235" i="30" s="1"/>
  <c r="I75" i="26"/>
  <c r="J50" i="20"/>
  <c r="G236" i="34"/>
  <c r="G237" i="34"/>
  <c r="I67" i="26"/>
  <c r="I70" i="26"/>
  <c r="I68" i="26"/>
  <c r="I69" i="26"/>
  <c r="G207" i="20"/>
  <c r="G207" i="32"/>
  <c r="G48" i="32" s="1"/>
  <c r="G49" i="32" s="1"/>
  <c r="G207" i="30"/>
  <c r="G48" i="30" s="1"/>
  <c r="G49" i="30" s="1"/>
  <c r="G207" i="34"/>
  <c r="G48" i="34" s="1"/>
  <c r="G49" i="34" s="1"/>
  <c r="G207" i="28"/>
  <c r="G48" i="28" s="1"/>
  <c r="G49" i="28" s="1"/>
  <c r="G236" i="28"/>
  <c r="G237" i="28"/>
  <c r="G216" i="20"/>
  <c r="G51" i="20" s="1"/>
  <c r="G52" i="20" s="1"/>
  <c r="G216" i="34"/>
  <c r="G51" i="34" s="1"/>
  <c r="G52" i="34" s="1"/>
  <c r="G216" i="32"/>
  <c r="G51" i="32" s="1"/>
  <c r="G52" i="32" s="1"/>
  <c r="G216" i="30"/>
  <c r="G51" i="30" s="1"/>
  <c r="G52" i="30" s="1"/>
  <c r="G216" i="28"/>
  <c r="G51" i="28" s="1"/>
  <c r="G52" i="28" s="1"/>
  <c r="F236" i="20"/>
  <c r="G237" i="32"/>
  <c r="G236" i="32"/>
  <c r="I103" i="34"/>
  <c r="H229" i="34"/>
  <c r="H234" i="34" s="1"/>
  <c r="H235" i="34" s="1"/>
  <c r="H107" i="34"/>
  <c r="H105" i="34"/>
  <c r="H106" i="34"/>
  <c r="I63" i="26"/>
  <c r="I103" i="28"/>
  <c r="H105" i="28"/>
  <c r="H106" i="28"/>
  <c r="H229" i="28"/>
  <c r="H234" i="28" s="1"/>
  <c r="H235" i="28" s="1"/>
  <c r="H107" i="28"/>
  <c r="G237" i="30"/>
  <c r="G236" i="30"/>
  <c r="O168" i="34"/>
  <c r="N5" i="34"/>
  <c r="P206" i="34"/>
  <c r="P47" i="34" s="1"/>
  <c r="P46" i="33"/>
  <c r="Q206" i="34" s="1"/>
  <c r="Q47" i="34" s="1"/>
  <c r="K193" i="34"/>
  <c r="K23" i="34"/>
  <c r="K112" i="34"/>
  <c r="L31" i="34"/>
  <c r="L42" i="34" s="1"/>
  <c r="L73" i="34"/>
  <c r="L40" i="34"/>
  <c r="L186" i="34"/>
  <c r="L6" i="34"/>
  <c r="O232" i="34"/>
  <c r="O60" i="33"/>
  <c r="L200" i="34"/>
  <c r="P161" i="34"/>
  <c r="O78" i="34"/>
  <c r="O79" i="34" s="1"/>
  <c r="O2" i="34"/>
  <c r="N61" i="33"/>
  <c r="O162" i="34"/>
  <c r="M110" i="34"/>
  <c r="M169" i="34"/>
  <c r="M36" i="34"/>
  <c r="M29" i="34"/>
  <c r="M233" i="34"/>
  <c r="P215" i="34"/>
  <c r="P50" i="34" s="1"/>
  <c r="P48" i="33"/>
  <c r="Q215" i="34" s="1"/>
  <c r="Q50" i="34" s="1"/>
  <c r="N197" i="34"/>
  <c r="N181" i="34"/>
  <c r="N18" i="34" s="1"/>
  <c r="N177" i="34"/>
  <c r="N14" i="34" s="1"/>
  <c r="N173" i="34"/>
  <c r="N10" i="34" s="1"/>
  <c r="N182" i="34"/>
  <c r="N19" i="34" s="1"/>
  <c r="N178" i="34"/>
  <c r="N15" i="34" s="1"/>
  <c r="N184" i="34"/>
  <c r="N21" i="34" s="1"/>
  <c r="N183" i="34"/>
  <c r="N20" i="34" s="1"/>
  <c r="N180" i="34"/>
  <c r="N17" i="34" s="1"/>
  <c r="N179" i="34"/>
  <c r="N16" i="34" s="1"/>
  <c r="N176" i="34"/>
  <c r="N13" i="34" s="1"/>
  <c r="N175" i="34"/>
  <c r="N12" i="34" s="1"/>
  <c r="N171" i="34"/>
  <c r="N8" i="34" s="1"/>
  <c r="N164" i="34"/>
  <c r="N165" i="34" s="1"/>
  <c r="N172" i="34"/>
  <c r="N9" i="34" s="1"/>
  <c r="N174" i="34"/>
  <c r="N11" i="34" s="1"/>
  <c r="N170" i="34"/>
  <c r="N7" i="34" s="1"/>
  <c r="L199" i="34"/>
  <c r="M231" i="34"/>
  <c r="N102" i="34"/>
  <c r="M108" i="34"/>
  <c r="O168" i="32"/>
  <c r="N5" i="32"/>
  <c r="P161" i="32"/>
  <c r="O78" i="32"/>
  <c r="O79" i="32" s="1"/>
  <c r="O2" i="32"/>
  <c r="N61" i="31"/>
  <c r="O162" i="32"/>
  <c r="M231" i="32"/>
  <c r="N102" i="32"/>
  <c r="M108" i="32"/>
  <c r="M29" i="32"/>
  <c r="M233" i="32"/>
  <c r="J30" i="32"/>
  <c r="J31" i="32" s="1"/>
  <c r="J42" i="32" s="1"/>
  <c r="J200" i="32"/>
  <c r="L73" i="32"/>
  <c r="L40" i="32"/>
  <c r="K193" i="32"/>
  <c r="K112" i="32"/>
  <c r="K23" i="32"/>
  <c r="P215" i="32"/>
  <c r="P50" i="32" s="1"/>
  <c r="P48" i="31"/>
  <c r="Q215" i="32" s="1"/>
  <c r="Q50" i="32" s="1"/>
  <c r="N183" i="32"/>
  <c r="N20" i="32" s="1"/>
  <c r="N197" i="32"/>
  <c r="N181" i="32"/>
  <c r="N18" i="32" s="1"/>
  <c r="N177" i="32"/>
  <c r="N14" i="32" s="1"/>
  <c r="N173" i="32"/>
  <c r="N10" i="32" s="1"/>
  <c r="N164" i="32"/>
  <c r="N165" i="32" s="1"/>
  <c r="N184" i="32"/>
  <c r="N21" i="32" s="1"/>
  <c r="N182" i="32"/>
  <c r="N19" i="32" s="1"/>
  <c r="N178" i="32"/>
  <c r="N15" i="32" s="1"/>
  <c r="N174" i="32"/>
  <c r="N11" i="32" s="1"/>
  <c r="N170" i="32"/>
  <c r="N7" i="32" s="1"/>
  <c r="N180" i="32"/>
  <c r="N17" i="32" s="1"/>
  <c r="N179" i="32"/>
  <c r="N16" i="32" s="1"/>
  <c r="N176" i="32"/>
  <c r="N13" i="32" s="1"/>
  <c r="N175" i="32"/>
  <c r="N12" i="32" s="1"/>
  <c r="N172" i="32"/>
  <c r="N9" i="32" s="1"/>
  <c r="N171" i="32"/>
  <c r="N8" i="32" s="1"/>
  <c r="K198" i="32"/>
  <c r="O232" i="32"/>
  <c r="O60" i="31"/>
  <c r="P206" i="32"/>
  <c r="P47" i="32" s="1"/>
  <c r="P46" i="31"/>
  <c r="Q206" i="32" s="1"/>
  <c r="Q47" i="32" s="1"/>
  <c r="L186" i="32"/>
  <c r="L6" i="32"/>
  <c r="M169" i="32"/>
  <c r="M110" i="32"/>
  <c r="M36" i="32"/>
  <c r="N36" i="30"/>
  <c r="N110" i="30"/>
  <c r="N169" i="30"/>
  <c r="Q163" i="30"/>
  <c r="Q34" i="30" s="1"/>
  <c r="P34" i="30"/>
  <c r="Q161" i="30"/>
  <c r="O61" i="29"/>
  <c r="P162" i="30"/>
  <c r="P78" i="30"/>
  <c r="P79" i="30" s="1"/>
  <c r="P2" i="30"/>
  <c r="M73" i="30"/>
  <c r="M40" i="30"/>
  <c r="P215" i="30"/>
  <c r="P48" i="29"/>
  <c r="Q215" i="30" s="1"/>
  <c r="Q50" i="30" s="1"/>
  <c r="P206" i="30"/>
  <c r="P46" i="29"/>
  <c r="Q206" i="30" s="1"/>
  <c r="Q47" i="30" s="1"/>
  <c r="L30" i="30"/>
  <c r="L31" i="30" s="1"/>
  <c r="L42" i="30" s="1"/>
  <c r="L200" i="30"/>
  <c r="N231" i="30"/>
  <c r="N108" i="30"/>
  <c r="O102" i="30"/>
  <c r="L193" i="30"/>
  <c r="L112" i="30"/>
  <c r="L23" i="30"/>
  <c r="M198" i="30"/>
  <c r="M199" i="30" s="1"/>
  <c r="N29" i="30"/>
  <c r="N233" i="30"/>
  <c r="O184" i="30"/>
  <c r="O21" i="30" s="1"/>
  <c r="O180" i="30"/>
  <c r="O17" i="30" s="1"/>
  <c r="O176" i="30"/>
  <c r="O13" i="30" s="1"/>
  <c r="O172" i="30"/>
  <c r="O9" i="30" s="1"/>
  <c r="O182" i="30"/>
  <c r="O19" i="30" s="1"/>
  <c r="O178" i="30"/>
  <c r="O15" i="30" s="1"/>
  <c r="O174" i="30"/>
  <c r="O11" i="30" s="1"/>
  <c r="O171" i="30"/>
  <c r="O8" i="30" s="1"/>
  <c r="O179" i="30"/>
  <c r="O16" i="30" s="1"/>
  <c r="O175" i="30"/>
  <c r="O12" i="30" s="1"/>
  <c r="O170" i="30"/>
  <c r="O7" i="30" s="1"/>
  <c r="O181" i="30"/>
  <c r="O18" i="30" s="1"/>
  <c r="O177" i="30"/>
  <c r="O14" i="30" s="1"/>
  <c r="O173" i="30"/>
  <c r="O10" i="30" s="1"/>
  <c r="O197" i="30"/>
  <c r="O164" i="30"/>
  <c r="O165" i="30" s="1"/>
  <c r="O183" i="30"/>
  <c r="O20" i="30" s="1"/>
  <c r="M186" i="30"/>
  <c r="M6" i="30"/>
  <c r="O168" i="30"/>
  <c r="N5" i="30"/>
  <c r="P46" i="27"/>
  <c r="Q206" i="28" s="1"/>
  <c r="Q47" i="28" s="1"/>
  <c r="P206" i="28"/>
  <c r="P47" i="28" s="1"/>
  <c r="M169" i="28"/>
  <c r="M110" i="28"/>
  <c r="M36" i="28"/>
  <c r="N184" i="28"/>
  <c r="N21" i="28" s="1"/>
  <c r="N197" i="28"/>
  <c r="N183" i="28"/>
  <c r="N20" i="28" s="1"/>
  <c r="N179" i="28"/>
  <c r="N16" i="28" s="1"/>
  <c r="N175" i="28"/>
  <c r="N12" i="28" s="1"/>
  <c r="N182" i="28"/>
  <c r="N19" i="28" s="1"/>
  <c r="N178" i="28"/>
  <c r="N15" i="28" s="1"/>
  <c r="N174" i="28"/>
  <c r="N11" i="28" s="1"/>
  <c r="N170" i="28"/>
  <c r="N7" i="28" s="1"/>
  <c r="N181" i="28"/>
  <c r="N18" i="28" s="1"/>
  <c r="N177" i="28"/>
  <c r="N14" i="28" s="1"/>
  <c r="N173" i="28"/>
  <c r="N10" i="28" s="1"/>
  <c r="N164" i="28"/>
  <c r="N165" i="28" s="1"/>
  <c r="N172" i="28"/>
  <c r="N9" i="28" s="1"/>
  <c r="N171" i="28"/>
  <c r="N8" i="28" s="1"/>
  <c r="N180" i="28"/>
  <c r="N17" i="28" s="1"/>
  <c r="N176" i="28"/>
  <c r="N13" i="28" s="1"/>
  <c r="J30" i="28"/>
  <c r="J31" i="28" s="1"/>
  <c r="J42" i="28" s="1"/>
  <c r="J200" i="28"/>
  <c r="M231" i="28"/>
  <c r="M108" i="28"/>
  <c r="N102" i="28"/>
  <c r="L73" i="28"/>
  <c r="L40" i="28"/>
  <c r="J199" i="28"/>
  <c r="P215" i="28"/>
  <c r="P50" i="28" s="1"/>
  <c r="P48" i="27"/>
  <c r="Q215" i="28" s="1"/>
  <c r="Q50" i="28" s="1"/>
  <c r="O168" i="28"/>
  <c r="N5" i="28"/>
  <c r="L186" i="28"/>
  <c r="L6" i="28"/>
  <c r="K193" i="28"/>
  <c r="K112" i="28"/>
  <c r="K23" i="28"/>
  <c r="P161" i="28"/>
  <c r="N61" i="27"/>
  <c r="O78" i="28"/>
  <c r="O79" i="28" s="1"/>
  <c r="O2" i="28"/>
  <c r="O162" i="28"/>
  <c r="M29" i="28"/>
  <c r="M233" i="28"/>
  <c r="H229" i="20"/>
  <c r="H231" i="20"/>
  <c r="G236" i="20"/>
  <c r="O171" i="20"/>
  <c r="O175" i="20"/>
  <c r="O164" i="20"/>
  <c r="O165" i="20" s="1"/>
  <c r="O173" i="20"/>
  <c r="O177" i="20"/>
  <c r="O181" i="20"/>
  <c r="O172" i="20"/>
  <c r="O178" i="20"/>
  <c r="O184" i="20"/>
  <c r="O176" i="20"/>
  <c r="O179" i="20"/>
  <c r="O198" i="20"/>
  <c r="O199" i="20" s="1"/>
  <c r="O174" i="20"/>
  <c r="O170" i="20"/>
  <c r="O180" i="20"/>
  <c r="O182" i="20"/>
  <c r="O183" i="20"/>
  <c r="N169" i="20"/>
  <c r="N186" i="20" s="1"/>
  <c r="J200" i="20"/>
  <c r="J233" i="20"/>
  <c r="P162" i="20"/>
  <c r="Q161" i="20"/>
  <c r="Q162" i="20" s="1"/>
  <c r="M193" i="20"/>
  <c r="F49" i="20"/>
  <c r="G40" i="20"/>
  <c r="G63" i="26"/>
  <c r="G70" i="26"/>
  <c r="G69" i="26"/>
  <c r="G67" i="26"/>
  <c r="G68" i="26"/>
  <c r="H36" i="20"/>
  <c r="H73" i="20" s="1"/>
  <c r="H110" i="20"/>
  <c r="J47" i="20"/>
  <c r="H107" i="20"/>
  <c r="I102" i="20"/>
  <c r="H108" i="20"/>
  <c r="H106" i="20"/>
  <c r="H105" i="20"/>
  <c r="L103" i="20"/>
  <c r="K2" i="20"/>
  <c r="K78" i="20"/>
  <c r="K79" i="20" s="1"/>
  <c r="I5" i="20"/>
  <c r="F23" i="20"/>
  <c r="F112" i="20"/>
  <c r="I29" i="20"/>
  <c r="I31" i="20" s="1"/>
  <c r="I42" i="20" s="1"/>
  <c r="K60" i="23"/>
  <c r="L232" i="20" s="1"/>
  <c r="J61" i="23"/>
  <c r="K197" i="20" s="1"/>
  <c r="K233" i="20" s="1"/>
  <c r="H6" i="20"/>
  <c r="K34" i="20"/>
  <c r="J29" i="20"/>
  <c r="J10" i="20"/>
  <c r="J8" i="20"/>
  <c r="J9" i="20"/>
  <c r="J16" i="20"/>
  <c r="J7" i="20"/>
  <c r="J19" i="20"/>
  <c r="J18" i="20"/>
  <c r="J21" i="20"/>
  <c r="J20" i="20"/>
  <c r="J17" i="20"/>
  <c r="J13" i="20"/>
  <c r="J12" i="20"/>
  <c r="J11" i="20"/>
  <c r="J15" i="20"/>
  <c r="J14" i="20"/>
  <c r="K46" i="23"/>
  <c r="L206" i="20" s="1"/>
  <c r="G95" i="26" s="1"/>
  <c r="J103" i="30" l="1"/>
  <c r="I107" i="30"/>
  <c r="I106" i="30"/>
  <c r="I229" i="30"/>
  <c r="I234" i="30" s="1"/>
  <c r="I235" i="30" s="1"/>
  <c r="I105" i="30"/>
  <c r="H207" i="20"/>
  <c r="H48" i="20" s="1"/>
  <c r="H49" i="20" s="1"/>
  <c r="H207" i="34"/>
  <c r="H48" i="34" s="1"/>
  <c r="H49" i="34" s="1"/>
  <c r="H207" i="28"/>
  <c r="H48" i="28" s="1"/>
  <c r="H49" i="28" s="1"/>
  <c r="H207" i="30"/>
  <c r="H48" i="30" s="1"/>
  <c r="H49" i="30" s="1"/>
  <c r="H207" i="32"/>
  <c r="H48" i="32" s="1"/>
  <c r="H49" i="32" s="1"/>
  <c r="H236" i="28"/>
  <c r="H237" i="28"/>
  <c r="H236" i="34"/>
  <c r="H237" i="34"/>
  <c r="I85" i="26"/>
  <c r="K50" i="20"/>
  <c r="J103" i="34"/>
  <c r="I105" i="34"/>
  <c r="I229" i="34"/>
  <c r="I234" i="34" s="1"/>
  <c r="I235" i="34" s="1"/>
  <c r="I106" i="34"/>
  <c r="I107" i="34"/>
  <c r="I77" i="26"/>
  <c r="I80" i="26"/>
  <c r="I78" i="26"/>
  <c r="I79" i="26"/>
  <c r="J103" i="28"/>
  <c r="I107" i="28"/>
  <c r="I229" i="28"/>
  <c r="I234" i="28" s="1"/>
  <c r="I235" i="28" s="1"/>
  <c r="I106" i="28"/>
  <c r="I105" i="28"/>
  <c r="H236" i="30"/>
  <c r="H237" i="30"/>
  <c r="H237" i="32"/>
  <c r="H236" i="32"/>
  <c r="H216" i="20"/>
  <c r="H51" i="20" s="1"/>
  <c r="H52" i="20" s="1"/>
  <c r="H216" i="32"/>
  <c r="H51" i="32" s="1"/>
  <c r="H52" i="32" s="1"/>
  <c r="H216" i="30"/>
  <c r="H51" i="30" s="1"/>
  <c r="H52" i="30" s="1"/>
  <c r="H216" i="34"/>
  <c r="H51" i="34" s="1"/>
  <c r="H52" i="34" s="1"/>
  <c r="H216" i="28"/>
  <c r="H51" i="28" s="1"/>
  <c r="H52" i="28" s="1"/>
  <c r="J103" i="32"/>
  <c r="I229" i="32"/>
  <c r="I234" i="32" s="1"/>
  <c r="I235" i="32" s="1"/>
  <c r="I107" i="32"/>
  <c r="I105" i="32"/>
  <c r="I106" i="32"/>
  <c r="I73" i="26"/>
  <c r="L215" i="20"/>
  <c r="L48" i="23"/>
  <c r="M199" i="34"/>
  <c r="M198" i="34"/>
  <c r="M186" i="34"/>
  <c r="M6" i="34"/>
  <c r="O184" i="34"/>
  <c r="O21" i="34" s="1"/>
  <c r="O180" i="34"/>
  <c r="O17" i="34" s="1"/>
  <c r="O176" i="34"/>
  <c r="O13" i="34" s="1"/>
  <c r="O172" i="34"/>
  <c r="O9" i="34" s="1"/>
  <c r="O181" i="34"/>
  <c r="O18" i="34" s="1"/>
  <c r="O177" i="34"/>
  <c r="O14" i="34" s="1"/>
  <c r="O197" i="34"/>
  <c r="O173" i="34"/>
  <c r="O10" i="34" s="1"/>
  <c r="O174" i="34"/>
  <c r="O11" i="34" s="1"/>
  <c r="O170" i="34"/>
  <c r="O7" i="34" s="1"/>
  <c r="O183" i="34"/>
  <c r="O20" i="34" s="1"/>
  <c r="O182" i="34"/>
  <c r="O19" i="34" s="1"/>
  <c r="O179" i="34"/>
  <c r="O16" i="34" s="1"/>
  <c r="O178" i="34"/>
  <c r="O15" i="34" s="1"/>
  <c r="O175" i="34"/>
  <c r="O12" i="34" s="1"/>
  <c r="O171" i="34"/>
  <c r="O8" i="34" s="1"/>
  <c r="O164" i="34"/>
  <c r="O165" i="34" s="1"/>
  <c r="P232" i="34"/>
  <c r="P60" i="33"/>
  <c r="Q232" i="34" s="1"/>
  <c r="N231" i="34"/>
  <c r="O102" i="34"/>
  <c r="N108" i="34"/>
  <c r="N29" i="34"/>
  <c r="N233" i="34"/>
  <c r="M73" i="34"/>
  <c r="M40" i="34"/>
  <c r="L193" i="34"/>
  <c r="L112" i="34"/>
  <c r="L23" i="34"/>
  <c r="N169" i="34"/>
  <c r="N110" i="34"/>
  <c r="N36" i="34"/>
  <c r="Q161" i="34"/>
  <c r="P78" i="34"/>
  <c r="P79" i="34" s="1"/>
  <c r="O61" i="33"/>
  <c r="P2" i="34"/>
  <c r="P162" i="34"/>
  <c r="P168" i="34"/>
  <c r="O5" i="34"/>
  <c r="L193" i="32"/>
  <c r="L23" i="32"/>
  <c r="L112" i="32"/>
  <c r="P232" i="32"/>
  <c r="P60" i="31"/>
  <c r="Q232" i="32" s="1"/>
  <c r="N169" i="32"/>
  <c r="N110" i="32"/>
  <c r="N36" i="32"/>
  <c r="N29" i="32"/>
  <c r="N233" i="32"/>
  <c r="N231" i="32"/>
  <c r="N108" i="32"/>
  <c r="O102" i="32"/>
  <c r="P168" i="32"/>
  <c r="O5" i="32"/>
  <c r="M186" i="32"/>
  <c r="M6" i="32"/>
  <c r="Q161" i="32"/>
  <c r="P78" i="32"/>
  <c r="P79" i="32" s="1"/>
  <c r="O61" i="31"/>
  <c r="P2" i="32"/>
  <c r="P162" i="32"/>
  <c r="M73" i="32"/>
  <c r="M40" i="32"/>
  <c r="K30" i="32"/>
  <c r="K31" i="32" s="1"/>
  <c r="K42" i="32" s="1"/>
  <c r="K200" i="32"/>
  <c r="K199" i="32"/>
  <c r="O197" i="32"/>
  <c r="O184" i="32"/>
  <c r="O21" i="32" s="1"/>
  <c r="O180" i="32"/>
  <c r="O17" i="32" s="1"/>
  <c r="O176" i="32"/>
  <c r="O13" i="32" s="1"/>
  <c r="O172" i="32"/>
  <c r="O9" i="32" s="1"/>
  <c r="O181" i="32"/>
  <c r="O18" i="32" s="1"/>
  <c r="O177" i="32"/>
  <c r="O14" i="32" s="1"/>
  <c r="O173" i="32"/>
  <c r="O10" i="32" s="1"/>
  <c r="O164" i="32"/>
  <c r="O165" i="32" s="1"/>
  <c r="O182" i="32"/>
  <c r="O19" i="32" s="1"/>
  <c r="O179" i="32"/>
  <c r="O16" i="32" s="1"/>
  <c r="O178" i="32"/>
  <c r="O15" i="32" s="1"/>
  <c r="O175" i="32"/>
  <c r="O12" i="32" s="1"/>
  <c r="O174" i="32"/>
  <c r="O11" i="32" s="1"/>
  <c r="O171" i="32"/>
  <c r="O8" i="32" s="1"/>
  <c r="O170" i="32"/>
  <c r="O7" i="32" s="1"/>
  <c r="O183" i="32"/>
  <c r="O20" i="32" s="1"/>
  <c r="P50" i="30"/>
  <c r="P168" i="30"/>
  <c r="O5" i="30"/>
  <c r="O110" i="30"/>
  <c r="O169" i="30"/>
  <c r="O36" i="30"/>
  <c r="M30" i="30"/>
  <c r="M31" i="30" s="1"/>
  <c r="M42" i="30" s="1"/>
  <c r="M200" i="30"/>
  <c r="Q78" i="30"/>
  <c r="Q79" i="30" s="1"/>
  <c r="Q2" i="30"/>
  <c r="P61" i="29"/>
  <c r="Q162" i="30"/>
  <c r="N40" i="30"/>
  <c r="N73" i="30"/>
  <c r="O29" i="30"/>
  <c r="O233" i="30"/>
  <c r="N198" i="30"/>
  <c r="N199" i="30" s="1"/>
  <c r="O231" i="30"/>
  <c r="P102" i="30"/>
  <c r="O108" i="30"/>
  <c r="P47" i="30"/>
  <c r="M193" i="30"/>
  <c r="M112" i="30"/>
  <c r="M23" i="30"/>
  <c r="P197" i="30"/>
  <c r="P183" i="30"/>
  <c r="P20" i="30" s="1"/>
  <c r="P179" i="30"/>
  <c r="P16" i="30" s="1"/>
  <c r="P175" i="30"/>
  <c r="P12" i="30" s="1"/>
  <c r="P184" i="30"/>
  <c r="P21" i="30" s="1"/>
  <c r="P171" i="30"/>
  <c r="P8" i="30" s="1"/>
  <c r="P181" i="30"/>
  <c r="P18" i="30" s="1"/>
  <c r="P177" i="30"/>
  <c r="P14" i="30" s="1"/>
  <c r="P173" i="30"/>
  <c r="P10" i="30" s="1"/>
  <c r="P164" i="30"/>
  <c r="P165" i="30" s="1"/>
  <c r="P182" i="30"/>
  <c r="P19" i="30" s="1"/>
  <c r="P178" i="30"/>
  <c r="P15" i="30" s="1"/>
  <c r="P174" i="30"/>
  <c r="P11" i="30" s="1"/>
  <c r="P170" i="30"/>
  <c r="P7" i="30" s="1"/>
  <c r="P180" i="30"/>
  <c r="P17" i="30" s="1"/>
  <c r="P176" i="30"/>
  <c r="P13" i="30" s="1"/>
  <c r="P172" i="30"/>
  <c r="P9" i="30" s="1"/>
  <c r="N186" i="30"/>
  <c r="N6" i="30"/>
  <c r="N169" i="28"/>
  <c r="N110" i="28"/>
  <c r="N36" i="28"/>
  <c r="O197" i="28"/>
  <c r="O184" i="28"/>
  <c r="O21" i="28" s="1"/>
  <c r="O182" i="28"/>
  <c r="O19" i="28" s="1"/>
  <c r="O178" i="28"/>
  <c r="O15" i="28" s="1"/>
  <c r="O181" i="28"/>
  <c r="O18" i="28" s="1"/>
  <c r="O177" i="28"/>
  <c r="O14" i="28" s="1"/>
  <c r="O173" i="28"/>
  <c r="O10" i="28" s="1"/>
  <c r="O183" i="28"/>
  <c r="O20" i="28" s="1"/>
  <c r="O180" i="28"/>
  <c r="O17" i="28" s="1"/>
  <c r="O176" i="28"/>
  <c r="O13" i="28" s="1"/>
  <c r="O172" i="28"/>
  <c r="O9" i="28" s="1"/>
  <c r="O179" i="28"/>
  <c r="O16" i="28" s="1"/>
  <c r="O175" i="28"/>
  <c r="O12" i="28" s="1"/>
  <c r="O171" i="28"/>
  <c r="O8" i="28" s="1"/>
  <c r="O164" i="28"/>
  <c r="O165" i="28" s="1"/>
  <c r="O174" i="28"/>
  <c r="O11" i="28" s="1"/>
  <c r="O170" i="28"/>
  <c r="O7" i="28" s="1"/>
  <c r="L193" i="28"/>
  <c r="L112" i="28"/>
  <c r="L23" i="28"/>
  <c r="N231" i="28"/>
  <c r="N108" i="28"/>
  <c r="O102" i="28"/>
  <c r="M186" i="28"/>
  <c r="M6" i="28"/>
  <c r="Q161" i="28"/>
  <c r="P78" i="28"/>
  <c r="P79" i="28" s="1"/>
  <c r="P2" i="28"/>
  <c r="O61" i="27"/>
  <c r="P162" i="28"/>
  <c r="K198" i="28"/>
  <c r="K199" i="28" s="1"/>
  <c r="P168" i="28"/>
  <c r="O5" i="28"/>
  <c r="N29" i="28"/>
  <c r="N233" i="28"/>
  <c r="M73" i="28"/>
  <c r="M40" i="28"/>
  <c r="O169" i="20"/>
  <c r="O186" i="20" s="1"/>
  <c r="K200" i="20"/>
  <c r="Q164" i="20"/>
  <c r="Q165" i="20" s="1"/>
  <c r="Q170" i="20"/>
  <c r="I231" i="20"/>
  <c r="I229" i="20"/>
  <c r="P170" i="20"/>
  <c r="P174" i="20"/>
  <c r="Q174" i="20" s="1"/>
  <c r="P172" i="20"/>
  <c r="Q172" i="20" s="1"/>
  <c r="P176" i="20"/>
  <c r="Q176" i="20" s="1"/>
  <c r="P180" i="20"/>
  <c r="Q180" i="20" s="1"/>
  <c r="P184" i="20"/>
  <c r="Q184" i="20" s="1"/>
  <c r="P164" i="20"/>
  <c r="P165" i="20" s="1"/>
  <c r="P177" i="20"/>
  <c r="Q177" i="20" s="1"/>
  <c r="P181" i="20"/>
  <c r="Q181" i="20" s="1"/>
  <c r="P183" i="20"/>
  <c r="Q183" i="20" s="1"/>
  <c r="P173" i="20"/>
  <c r="Q173" i="20" s="1"/>
  <c r="P182" i="20"/>
  <c r="Q182" i="20" s="1"/>
  <c r="P175" i="20"/>
  <c r="Q175" i="20" s="1"/>
  <c r="P178" i="20"/>
  <c r="Q178" i="20" s="1"/>
  <c r="P179" i="20"/>
  <c r="Q179" i="20" s="1"/>
  <c r="P198" i="20"/>
  <c r="P199" i="20" s="1"/>
  <c r="P171" i="20"/>
  <c r="Q171" i="20" s="1"/>
  <c r="N193" i="20"/>
  <c r="H234" i="20"/>
  <c r="H235" i="20" s="1"/>
  <c r="H40" i="20"/>
  <c r="G48" i="20"/>
  <c r="G73" i="26"/>
  <c r="G78" i="26"/>
  <c r="G79" i="26"/>
  <c r="G80" i="26"/>
  <c r="G77" i="26"/>
  <c r="J5" i="20"/>
  <c r="I36" i="20"/>
  <c r="I40" i="20" s="1"/>
  <c r="I110" i="20"/>
  <c r="G23" i="20"/>
  <c r="G112" i="20"/>
  <c r="K47" i="20"/>
  <c r="L78" i="20"/>
  <c r="L79" i="20" s="1"/>
  <c r="L2" i="20"/>
  <c r="M103" i="20"/>
  <c r="I107" i="20"/>
  <c r="I108" i="20"/>
  <c r="J102" i="20"/>
  <c r="I106" i="20"/>
  <c r="I105" i="20"/>
  <c r="L60" i="23"/>
  <c r="M232" i="20" s="1"/>
  <c r="I6" i="20"/>
  <c r="K29" i="20"/>
  <c r="K9" i="20"/>
  <c r="K21" i="20"/>
  <c r="K20" i="20"/>
  <c r="K17" i="20"/>
  <c r="K13" i="20"/>
  <c r="K12" i="20"/>
  <c r="K11" i="20"/>
  <c r="K8" i="20"/>
  <c r="K19" i="20"/>
  <c r="K18" i="20"/>
  <c r="K15" i="20"/>
  <c r="K14" i="20"/>
  <c r="K10" i="20"/>
  <c r="K16" i="20"/>
  <c r="K7" i="20"/>
  <c r="K61" i="23"/>
  <c r="L197" i="20" s="1"/>
  <c r="L200" i="20" s="1"/>
  <c r="L46" i="23"/>
  <c r="M206" i="20" s="1"/>
  <c r="G105" i="26" s="1"/>
  <c r="L34" i="20"/>
  <c r="I95" i="26" l="1"/>
  <c r="L50" i="20"/>
  <c r="I83" i="26"/>
  <c r="I216" i="20"/>
  <c r="I51" i="20" s="1"/>
  <c r="I52" i="20" s="1"/>
  <c r="I216" i="34"/>
  <c r="I51" i="34" s="1"/>
  <c r="I52" i="34" s="1"/>
  <c r="I216" i="28"/>
  <c r="I51" i="28" s="1"/>
  <c r="I52" i="28" s="1"/>
  <c r="I216" i="32"/>
  <c r="I51" i="32" s="1"/>
  <c r="I52" i="32" s="1"/>
  <c r="I216" i="30"/>
  <c r="I51" i="30" s="1"/>
  <c r="I52" i="30" s="1"/>
  <c r="K103" i="28"/>
  <c r="J106" i="28"/>
  <c r="J105" i="28"/>
  <c r="J229" i="28"/>
  <c r="J234" i="28" s="1"/>
  <c r="J235" i="28" s="1"/>
  <c r="J107" i="28"/>
  <c r="I237" i="30"/>
  <c r="I236" i="30"/>
  <c r="M215" i="20"/>
  <c r="M48" i="23"/>
  <c r="I237" i="34"/>
  <c r="I236" i="34"/>
  <c r="K103" i="30"/>
  <c r="J105" i="30"/>
  <c r="J229" i="30"/>
  <c r="J234" i="30" s="1"/>
  <c r="J235" i="30" s="1"/>
  <c r="J106" i="30"/>
  <c r="J107" i="30"/>
  <c r="K103" i="32"/>
  <c r="J229" i="32"/>
  <c r="J234" i="32" s="1"/>
  <c r="J235" i="32" s="1"/>
  <c r="J107" i="32"/>
  <c r="J106" i="32"/>
  <c r="J105" i="32"/>
  <c r="I90" i="26"/>
  <c r="I88" i="26"/>
  <c r="I87" i="26"/>
  <c r="I89" i="26"/>
  <c r="I234" i="20"/>
  <c r="I235" i="20" s="1"/>
  <c r="I236" i="20" s="1"/>
  <c r="K103" i="34"/>
  <c r="J105" i="34"/>
  <c r="J229" i="34"/>
  <c r="J234" i="34" s="1"/>
  <c r="J235" i="34" s="1"/>
  <c r="J106" i="34"/>
  <c r="J107" i="34"/>
  <c r="I236" i="28"/>
  <c r="I237" i="28"/>
  <c r="I207" i="20"/>
  <c r="I207" i="32"/>
  <c r="I48" i="32" s="1"/>
  <c r="I49" i="32" s="1"/>
  <c r="I207" i="30"/>
  <c r="I48" i="30" s="1"/>
  <c r="I49" i="30" s="1"/>
  <c r="I207" i="28"/>
  <c r="I48" i="28" s="1"/>
  <c r="I49" i="28" s="1"/>
  <c r="I207" i="34"/>
  <c r="I48" i="34" s="1"/>
  <c r="I49" i="34" s="1"/>
  <c r="I236" i="32"/>
  <c r="I237" i="32"/>
  <c r="O29" i="34"/>
  <c r="O233" i="34"/>
  <c r="Q78" i="34"/>
  <c r="Q79" i="34" s="1"/>
  <c r="Q2" i="34"/>
  <c r="P61" i="33"/>
  <c r="Q162" i="34"/>
  <c r="M193" i="34"/>
  <c r="M112" i="34"/>
  <c r="M23" i="34"/>
  <c r="Q168" i="34"/>
  <c r="Q5" i="34" s="1"/>
  <c r="P5" i="34"/>
  <c r="N40" i="34"/>
  <c r="N73" i="34"/>
  <c r="O231" i="34"/>
  <c r="P102" i="34"/>
  <c r="O108" i="34"/>
  <c r="M30" i="34"/>
  <c r="M31" i="34" s="1"/>
  <c r="M42" i="34" s="1"/>
  <c r="M200" i="34"/>
  <c r="N198" i="34"/>
  <c r="P197" i="34"/>
  <c r="P183" i="34"/>
  <c r="P20" i="34" s="1"/>
  <c r="P179" i="34"/>
  <c r="P16" i="34" s="1"/>
  <c r="P175" i="34"/>
  <c r="P12" i="34" s="1"/>
  <c r="P171" i="34"/>
  <c r="P8" i="34" s="1"/>
  <c r="P184" i="34"/>
  <c r="P21" i="34" s="1"/>
  <c r="P180" i="34"/>
  <c r="P17" i="34" s="1"/>
  <c r="P176" i="34"/>
  <c r="P13" i="34" s="1"/>
  <c r="P181" i="34"/>
  <c r="P18" i="34" s="1"/>
  <c r="P177" i="34"/>
  <c r="P14" i="34" s="1"/>
  <c r="P182" i="34"/>
  <c r="P19" i="34" s="1"/>
  <c r="P178" i="34"/>
  <c r="P15" i="34" s="1"/>
  <c r="P172" i="34"/>
  <c r="P9" i="34" s="1"/>
  <c r="P174" i="34"/>
  <c r="P11" i="34" s="1"/>
  <c r="P170" i="34"/>
  <c r="P7" i="34" s="1"/>
  <c r="P173" i="34"/>
  <c r="P10" i="34" s="1"/>
  <c r="P164" i="34"/>
  <c r="P165" i="34" s="1"/>
  <c r="N186" i="34"/>
  <c r="N6" i="34"/>
  <c r="O169" i="34"/>
  <c r="O110" i="34"/>
  <c r="O36" i="34"/>
  <c r="L198" i="32"/>
  <c r="L199" i="32" s="1"/>
  <c r="M193" i="32"/>
  <c r="M112" i="32"/>
  <c r="M23" i="32"/>
  <c r="O231" i="32"/>
  <c r="O108" i="32"/>
  <c r="P102" i="32"/>
  <c r="N73" i="32"/>
  <c r="N40" i="32"/>
  <c r="P183" i="32"/>
  <c r="P20" i="32" s="1"/>
  <c r="P179" i="32"/>
  <c r="P16" i="32" s="1"/>
  <c r="P175" i="32"/>
  <c r="P12" i="32" s="1"/>
  <c r="P171" i="32"/>
  <c r="P8" i="32" s="1"/>
  <c r="P180" i="32"/>
  <c r="P17" i="32" s="1"/>
  <c r="P176" i="32"/>
  <c r="P13" i="32" s="1"/>
  <c r="P172" i="32"/>
  <c r="P9" i="32" s="1"/>
  <c r="P197" i="32"/>
  <c r="P184" i="32"/>
  <c r="P21" i="32" s="1"/>
  <c r="P181" i="32"/>
  <c r="P18" i="32" s="1"/>
  <c r="P177" i="32"/>
  <c r="P14" i="32" s="1"/>
  <c r="P173" i="32"/>
  <c r="P10" i="32" s="1"/>
  <c r="P164" i="32"/>
  <c r="P165" i="32" s="1"/>
  <c r="P182" i="32"/>
  <c r="P19" i="32" s="1"/>
  <c r="P178" i="32"/>
  <c r="P15" i="32" s="1"/>
  <c r="P174" i="32"/>
  <c r="P11" i="32" s="1"/>
  <c r="P170" i="32"/>
  <c r="P7" i="32" s="1"/>
  <c r="Q78" i="32"/>
  <c r="Q79" i="32" s="1"/>
  <c r="Q2" i="32"/>
  <c r="P61" i="31"/>
  <c r="Q162" i="32"/>
  <c r="Q168" i="32"/>
  <c r="Q5" i="32" s="1"/>
  <c r="P5" i="32"/>
  <c r="N186" i="32"/>
  <c r="N6" i="32"/>
  <c r="O110" i="32"/>
  <c r="O169" i="32"/>
  <c r="O36" i="32"/>
  <c r="O29" i="32"/>
  <c r="O233" i="32"/>
  <c r="O198" i="30"/>
  <c r="O73" i="30"/>
  <c r="O40" i="30"/>
  <c r="P29" i="30"/>
  <c r="P233" i="30"/>
  <c r="O186" i="30"/>
  <c r="O6" i="30"/>
  <c r="N193" i="30"/>
  <c r="N112" i="30"/>
  <c r="N23" i="30"/>
  <c r="P169" i="30"/>
  <c r="P110" i="30"/>
  <c r="P36" i="30"/>
  <c r="P231" i="30"/>
  <c r="P108" i="30"/>
  <c r="Q102" i="30"/>
  <c r="N30" i="30"/>
  <c r="N31" i="30" s="1"/>
  <c r="N42" i="30" s="1"/>
  <c r="N200" i="30"/>
  <c r="Q182" i="30"/>
  <c r="Q19" i="30" s="1"/>
  <c r="Q178" i="30"/>
  <c r="Q15" i="30" s="1"/>
  <c r="Q174" i="30"/>
  <c r="Q11" i="30" s="1"/>
  <c r="Q183" i="30"/>
  <c r="Q20" i="30" s="1"/>
  <c r="Q197" i="30"/>
  <c r="Q181" i="30"/>
  <c r="Q18" i="30" s="1"/>
  <c r="Q177" i="30"/>
  <c r="Q14" i="30" s="1"/>
  <c r="Q173" i="30"/>
  <c r="Q10" i="30" s="1"/>
  <c r="Q170" i="30"/>
  <c r="Q7" i="30" s="1"/>
  <c r="Q184" i="30"/>
  <c r="Q21" i="30" s="1"/>
  <c r="Q179" i="30"/>
  <c r="Q16" i="30" s="1"/>
  <c r="Q175" i="30"/>
  <c r="Q12" i="30" s="1"/>
  <c r="Q180" i="30"/>
  <c r="Q17" i="30" s="1"/>
  <c r="Q176" i="30"/>
  <c r="Q13" i="30" s="1"/>
  <c r="Q172" i="30"/>
  <c r="Q9" i="30" s="1"/>
  <c r="Q164" i="30"/>
  <c r="Q165" i="30" s="1"/>
  <c r="Q171" i="30"/>
  <c r="Q8" i="30" s="1"/>
  <c r="Q168" i="30"/>
  <c r="Q5" i="30" s="1"/>
  <c r="P5" i="30"/>
  <c r="L198" i="28"/>
  <c r="O29" i="28"/>
  <c r="O233" i="28"/>
  <c r="N73" i="28"/>
  <c r="N40" i="28"/>
  <c r="M193" i="28"/>
  <c r="M112" i="28"/>
  <c r="M23" i="28"/>
  <c r="P197" i="28"/>
  <c r="P181" i="28"/>
  <c r="P18" i="28" s="1"/>
  <c r="P177" i="28"/>
  <c r="P14" i="28" s="1"/>
  <c r="P183" i="28"/>
  <c r="P20" i="28" s="1"/>
  <c r="P180" i="28"/>
  <c r="P17" i="28" s="1"/>
  <c r="P176" i="28"/>
  <c r="P13" i="28" s="1"/>
  <c r="P172" i="28"/>
  <c r="P9" i="28" s="1"/>
  <c r="P179" i="28"/>
  <c r="P16" i="28" s="1"/>
  <c r="P175" i="28"/>
  <c r="P12" i="28" s="1"/>
  <c r="P171" i="28"/>
  <c r="P8" i="28" s="1"/>
  <c r="P182" i="28"/>
  <c r="P19" i="28" s="1"/>
  <c r="P178" i="28"/>
  <c r="P15" i="28" s="1"/>
  <c r="P174" i="28"/>
  <c r="P11" i="28" s="1"/>
  <c r="P170" i="28"/>
  <c r="P7" i="28" s="1"/>
  <c r="P184" i="28"/>
  <c r="P21" i="28" s="1"/>
  <c r="P173" i="28"/>
  <c r="P10" i="28" s="1"/>
  <c r="P164" i="28"/>
  <c r="P165" i="28" s="1"/>
  <c r="O231" i="28"/>
  <c r="O108" i="28"/>
  <c r="P102" i="28"/>
  <c r="O169" i="28"/>
  <c r="O110" i="28"/>
  <c r="O36" i="28"/>
  <c r="N186" i="28"/>
  <c r="N6" i="28"/>
  <c r="Q168" i="28"/>
  <c r="Q5" i="28" s="1"/>
  <c r="P5" i="28"/>
  <c r="K30" i="28"/>
  <c r="K31" i="28" s="1"/>
  <c r="K42" i="28" s="1"/>
  <c r="K200" i="28"/>
  <c r="Q78" i="28"/>
  <c r="Q79" i="28" s="1"/>
  <c r="Q2" i="28"/>
  <c r="P61" i="27"/>
  <c r="Q162" i="28"/>
  <c r="Q198" i="20"/>
  <c r="Q199" i="20" s="1"/>
  <c r="L233" i="20"/>
  <c r="H236" i="20"/>
  <c r="H237" i="20"/>
  <c r="O193" i="20"/>
  <c r="J229" i="20"/>
  <c r="J231" i="20"/>
  <c r="P169" i="20"/>
  <c r="P186" i="20" s="1"/>
  <c r="Q169" i="20"/>
  <c r="Q186" i="20" s="1"/>
  <c r="G49" i="20"/>
  <c r="I48" i="20"/>
  <c r="I49" i="20" s="1"/>
  <c r="I73" i="20"/>
  <c r="G83" i="26"/>
  <c r="G88" i="26"/>
  <c r="G90" i="26"/>
  <c r="G87" i="26"/>
  <c r="G89" i="26"/>
  <c r="M2" i="20"/>
  <c r="M78" i="20"/>
  <c r="M79" i="20" s="1"/>
  <c r="J36" i="20"/>
  <c r="J73" i="20" s="1"/>
  <c r="J110" i="20"/>
  <c r="J106" i="20"/>
  <c r="K102" i="20"/>
  <c r="J108" i="20"/>
  <c r="J107" i="20"/>
  <c r="J105" i="20"/>
  <c r="N103" i="20"/>
  <c r="L47" i="20"/>
  <c r="H23" i="20"/>
  <c r="H112" i="20"/>
  <c r="J30" i="20"/>
  <c r="J31" i="20" s="1"/>
  <c r="J42" i="20" s="1"/>
  <c r="K5" i="20"/>
  <c r="M60" i="23"/>
  <c r="N232" i="20" s="1"/>
  <c r="L61" i="23"/>
  <c r="M197" i="20" s="1"/>
  <c r="J6" i="20"/>
  <c r="M34" i="20"/>
  <c r="L29" i="20"/>
  <c r="L8" i="20"/>
  <c r="L9" i="20"/>
  <c r="L21" i="20"/>
  <c r="L20" i="20"/>
  <c r="L17" i="20"/>
  <c r="L10" i="20"/>
  <c r="L19" i="20"/>
  <c r="L18" i="20"/>
  <c r="L16" i="20"/>
  <c r="L15" i="20"/>
  <c r="L14" i="20"/>
  <c r="L7" i="20"/>
  <c r="L13" i="20"/>
  <c r="L11" i="20"/>
  <c r="L12" i="20"/>
  <c r="M46" i="23"/>
  <c r="N206" i="20" s="1"/>
  <c r="G115" i="26" s="1"/>
  <c r="I237" i="20" l="1"/>
  <c r="J237" i="34"/>
  <c r="J236" i="34"/>
  <c r="J207" i="20"/>
  <c r="J207" i="28"/>
  <c r="J48" i="28" s="1"/>
  <c r="J49" i="28" s="1"/>
  <c r="J207" i="32"/>
  <c r="J48" i="32" s="1"/>
  <c r="J49" i="32" s="1"/>
  <c r="J207" i="30"/>
  <c r="J48" i="30" s="1"/>
  <c r="J49" i="30" s="1"/>
  <c r="J207" i="34"/>
  <c r="J48" i="34" s="1"/>
  <c r="J49" i="34" s="1"/>
  <c r="L103" i="34"/>
  <c r="K106" i="34"/>
  <c r="K107" i="34"/>
  <c r="K105" i="34"/>
  <c r="K229" i="34"/>
  <c r="K234" i="34" s="1"/>
  <c r="K235" i="34" s="1"/>
  <c r="J237" i="30"/>
  <c r="J236" i="30"/>
  <c r="N215" i="20"/>
  <c r="N48" i="23"/>
  <c r="L103" i="28"/>
  <c r="K105" i="28"/>
  <c r="K229" i="28"/>
  <c r="K234" i="28" s="1"/>
  <c r="K235" i="28" s="1"/>
  <c r="K107" i="28"/>
  <c r="K106" i="28"/>
  <c r="J216" i="20"/>
  <c r="J51" i="20" s="1"/>
  <c r="J52" i="20" s="1"/>
  <c r="J216" i="32"/>
  <c r="J51" i="32" s="1"/>
  <c r="J52" i="32" s="1"/>
  <c r="J216" i="30"/>
  <c r="J51" i="30" s="1"/>
  <c r="J52" i="30" s="1"/>
  <c r="J216" i="34"/>
  <c r="J51" i="34" s="1"/>
  <c r="J52" i="34" s="1"/>
  <c r="J216" i="28"/>
  <c r="J51" i="28" s="1"/>
  <c r="J52" i="28" s="1"/>
  <c r="L103" i="30"/>
  <c r="K105" i="30"/>
  <c r="K229" i="30"/>
  <c r="K234" i="30" s="1"/>
  <c r="K235" i="30" s="1"/>
  <c r="K107" i="30"/>
  <c r="K106" i="30"/>
  <c r="I98" i="26"/>
  <c r="I100" i="26"/>
  <c r="I97" i="26"/>
  <c r="I99" i="26"/>
  <c r="J234" i="20"/>
  <c r="J235" i="20" s="1"/>
  <c r="J237" i="20" s="1"/>
  <c r="J237" i="32"/>
  <c r="J236" i="32"/>
  <c r="I105" i="26"/>
  <c r="M50" i="20"/>
  <c r="I93" i="26"/>
  <c r="L103" i="32"/>
  <c r="K229" i="32"/>
  <c r="K234" i="32" s="1"/>
  <c r="K235" i="32" s="1"/>
  <c r="K105" i="32"/>
  <c r="K107" i="32"/>
  <c r="K106" i="32"/>
  <c r="J236" i="28"/>
  <c r="J237" i="28"/>
  <c r="P29" i="34"/>
  <c r="P233" i="34"/>
  <c r="Q182" i="34"/>
  <c r="Q19" i="34" s="1"/>
  <c r="Q178" i="34"/>
  <c r="Q15" i="34" s="1"/>
  <c r="Q174" i="34"/>
  <c r="Q11" i="34" s="1"/>
  <c r="Q170" i="34"/>
  <c r="Q7" i="34" s="1"/>
  <c r="Q183" i="34"/>
  <c r="Q20" i="34" s="1"/>
  <c r="Q179" i="34"/>
  <c r="Q16" i="34" s="1"/>
  <c r="Q175" i="34"/>
  <c r="Q12" i="34" s="1"/>
  <c r="Q184" i="34"/>
  <c r="Q21" i="34" s="1"/>
  <c r="Q180" i="34"/>
  <c r="Q17" i="34" s="1"/>
  <c r="Q176" i="34"/>
  <c r="Q13" i="34" s="1"/>
  <c r="Q171" i="34"/>
  <c r="Q8" i="34" s="1"/>
  <c r="Q173" i="34"/>
  <c r="Q10" i="34" s="1"/>
  <c r="Q164" i="34"/>
  <c r="Q165" i="34" s="1"/>
  <c r="Q181" i="34"/>
  <c r="Q18" i="34" s="1"/>
  <c r="Q177" i="34"/>
  <c r="Q14" i="34" s="1"/>
  <c r="Q172" i="34"/>
  <c r="Q9" i="34" s="1"/>
  <c r="Q197" i="34"/>
  <c r="O73" i="34"/>
  <c r="O40" i="34"/>
  <c r="P169" i="34"/>
  <c r="P110" i="34"/>
  <c r="P36" i="34"/>
  <c r="N30" i="34"/>
  <c r="N31" i="34" s="1"/>
  <c r="N42" i="34" s="1"/>
  <c r="N200" i="34"/>
  <c r="P231" i="34"/>
  <c r="P108" i="34"/>
  <c r="Q102" i="34"/>
  <c r="O186" i="34"/>
  <c r="O6" i="34"/>
  <c r="N193" i="34"/>
  <c r="N112" i="34"/>
  <c r="N23" i="34"/>
  <c r="N199" i="34"/>
  <c r="P169" i="32"/>
  <c r="P110" i="32"/>
  <c r="P36" i="32"/>
  <c r="O73" i="32"/>
  <c r="O40" i="32"/>
  <c r="N193" i="32"/>
  <c r="N112" i="32"/>
  <c r="N23" i="32"/>
  <c r="P29" i="32"/>
  <c r="P233" i="32"/>
  <c r="L30" i="32"/>
  <c r="L31" i="32" s="1"/>
  <c r="L42" i="32" s="1"/>
  <c r="L200" i="32"/>
  <c r="O186" i="32"/>
  <c r="O6" i="32"/>
  <c r="M198" i="32"/>
  <c r="M199" i="32" s="1"/>
  <c r="Q197" i="32"/>
  <c r="Q184" i="32"/>
  <c r="Q21" i="32" s="1"/>
  <c r="Q182" i="32"/>
  <c r="Q19" i="32" s="1"/>
  <c r="Q178" i="32"/>
  <c r="Q15" i="32" s="1"/>
  <c r="Q174" i="32"/>
  <c r="Q11" i="32" s="1"/>
  <c r="Q170" i="32"/>
  <c r="Q7" i="32" s="1"/>
  <c r="Q183" i="32"/>
  <c r="Q20" i="32" s="1"/>
  <c r="Q179" i="32"/>
  <c r="Q16" i="32" s="1"/>
  <c r="Q175" i="32"/>
  <c r="Q12" i="32" s="1"/>
  <c r="Q171" i="32"/>
  <c r="Q8" i="32" s="1"/>
  <c r="Q180" i="32"/>
  <c r="Q17" i="32" s="1"/>
  <c r="Q176" i="32"/>
  <c r="Q13" i="32" s="1"/>
  <c r="Q172" i="32"/>
  <c r="Q9" i="32" s="1"/>
  <c r="Q181" i="32"/>
  <c r="Q18" i="32" s="1"/>
  <c r="Q177" i="32"/>
  <c r="Q14" i="32" s="1"/>
  <c r="Q173" i="32"/>
  <c r="Q10" i="32" s="1"/>
  <c r="Q164" i="32"/>
  <c r="Q165" i="32" s="1"/>
  <c r="P231" i="32"/>
  <c r="P108" i="32"/>
  <c r="Q102" i="32"/>
  <c r="P186" i="30"/>
  <c r="P6" i="30"/>
  <c r="Q110" i="30"/>
  <c r="Q36" i="30"/>
  <c r="Q169" i="30"/>
  <c r="Q29" i="30"/>
  <c r="Q233" i="30"/>
  <c r="Q231" i="30"/>
  <c r="Q108" i="30"/>
  <c r="P40" i="30"/>
  <c r="P73" i="30"/>
  <c r="O30" i="30"/>
  <c r="O31" i="30" s="1"/>
  <c r="O42" i="30" s="1"/>
  <c r="O200" i="30"/>
  <c r="O193" i="30"/>
  <c r="O23" i="30"/>
  <c r="O112" i="30"/>
  <c r="O199" i="30"/>
  <c r="N193" i="28"/>
  <c r="N112" i="28"/>
  <c r="N23" i="28"/>
  <c r="O73" i="28"/>
  <c r="O40" i="28"/>
  <c r="Q184" i="28"/>
  <c r="Q21" i="28" s="1"/>
  <c r="Q183" i="28"/>
  <c r="Q20" i="28" s="1"/>
  <c r="Q180" i="28"/>
  <c r="Q17" i="28" s="1"/>
  <c r="Q176" i="28"/>
  <c r="Q13" i="28" s="1"/>
  <c r="Q179" i="28"/>
  <c r="Q16" i="28" s="1"/>
  <c r="Q175" i="28"/>
  <c r="Q12" i="28" s="1"/>
  <c r="Q171" i="28"/>
  <c r="Q8" i="28" s="1"/>
  <c r="Q197" i="28"/>
  <c r="Q182" i="28"/>
  <c r="Q19" i="28" s="1"/>
  <c r="Q178" i="28"/>
  <c r="Q15" i="28" s="1"/>
  <c r="Q174" i="28"/>
  <c r="Q11" i="28" s="1"/>
  <c r="Q170" i="28"/>
  <c r="Q7" i="28" s="1"/>
  <c r="Q181" i="28"/>
  <c r="Q18" i="28" s="1"/>
  <c r="Q177" i="28"/>
  <c r="Q14" i="28" s="1"/>
  <c r="Q173" i="28"/>
  <c r="Q10" i="28" s="1"/>
  <c r="Q164" i="28"/>
  <c r="Q165" i="28" s="1"/>
  <c r="Q172" i="28"/>
  <c r="Q9" i="28" s="1"/>
  <c r="P231" i="28"/>
  <c r="Q102" i="28"/>
  <c r="P108" i="28"/>
  <c r="P169" i="28"/>
  <c r="P110" i="28"/>
  <c r="P36" i="28"/>
  <c r="L30" i="28"/>
  <c r="L31" i="28" s="1"/>
  <c r="L42" i="28" s="1"/>
  <c r="L200" i="28"/>
  <c r="O186" i="28"/>
  <c r="O6" i="28"/>
  <c r="P29" i="28"/>
  <c r="P233" i="28"/>
  <c r="L199" i="28"/>
  <c r="M200" i="20"/>
  <c r="M233" i="20"/>
  <c r="K229" i="20"/>
  <c r="K231" i="20"/>
  <c r="P193" i="20"/>
  <c r="Q193" i="20"/>
  <c r="J40" i="20"/>
  <c r="G93" i="26"/>
  <c r="G100" i="26"/>
  <c r="G97" i="26"/>
  <c r="G98" i="26"/>
  <c r="G99" i="26"/>
  <c r="M47" i="20"/>
  <c r="I23" i="20"/>
  <c r="I112" i="20"/>
  <c r="O103" i="20"/>
  <c r="K106" i="20"/>
  <c r="K108" i="20"/>
  <c r="L102" i="20"/>
  <c r="K107" i="20"/>
  <c r="K105" i="20"/>
  <c r="N2" i="20"/>
  <c r="N78" i="20"/>
  <c r="N79" i="20" s="1"/>
  <c r="K36" i="20"/>
  <c r="K73" i="20" s="1"/>
  <c r="K110" i="20"/>
  <c r="L5" i="20"/>
  <c r="N60" i="23"/>
  <c r="O232" i="20" s="1"/>
  <c r="N46" i="23"/>
  <c r="O206" i="20" s="1"/>
  <c r="G125" i="26" s="1"/>
  <c r="N34" i="20"/>
  <c r="K6" i="20"/>
  <c r="M61" i="23"/>
  <c r="N197" i="20" s="1"/>
  <c r="M29" i="20"/>
  <c r="M21" i="20"/>
  <c r="M20" i="20"/>
  <c r="M10" i="20"/>
  <c r="M19" i="20"/>
  <c r="M18" i="20"/>
  <c r="M16" i="20"/>
  <c r="M15" i="20"/>
  <c r="M8" i="20"/>
  <c r="M7" i="20"/>
  <c r="M17" i="20"/>
  <c r="M11" i="20"/>
  <c r="M9" i="20"/>
  <c r="M14" i="20"/>
  <c r="M12" i="20"/>
  <c r="M13" i="20"/>
  <c r="J236" i="20" l="1"/>
  <c r="I108" i="26"/>
  <c r="I107" i="26"/>
  <c r="I109" i="26"/>
  <c r="I110" i="26"/>
  <c r="K207" i="20"/>
  <c r="K48" i="20" s="1"/>
  <c r="K49" i="20" s="1"/>
  <c r="K207" i="28"/>
  <c r="K48" i="28" s="1"/>
  <c r="K49" i="28" s="1"/>
  <c r="K207" i="32"/>
  <c r="K48" i="32" s="1"/>
  <c r="K49" i="32" s="1"/>
  <c r="K207" i="34"/>
  <c r="K48" i="34" s="1"/>
  <c r="K49" i="34" s="1"/>
  <c r="K207" i="30"/>
  <c r="K48" i="30" s="1"/>
  <c r="K49" i="30" s="1"/>
  <c r="I103" i="26"/>
  <c r="K236" i="28"/>
  <c r="K237" i="28"/>
  <c r="K237" i="32"/>
  <c r="K236" i="32"/>
  <c r="M103" i="30"/>
  <c r="L107" i="30"/>
  <c r="L105" i="30"/>
  <c r="L106" i="30"/>
  <c r="N127" i="30" s="1"/>
  <c r="L229" i="30"/>
  <c r="L234" i="30" s="1"/>
  <c r="L235" i="30" s="1"/>
  <c r="M103" i="32"/>
  <c r="L229" i="32"/>
  <c r="L234" i="32" s="1"/>
  <c r="L235" i="32" s="1"/>
  <c r="L107" i="32"/>
  <c r="L106" i="32"/>
  <c r="N127" i="32" s="1"/>
  <c r="L105" i="32"/>
  <c r="K216" i="20"/>
  <c r="K51" i="20" s="1"/>
  <c r="K52" i="20" s="1"/>
  <c r="K216" i="28"/>
  <c r="K51" i="28" s="1"/>
  <c r="K52" i="28" s="1"/>
  <c r="K216" i="32"/>
  <c r="K51" i="32" s="1"/>
  <c r="K52" i="32" s="1"/>
  <c r="K216" i="30"/>
  <c r="K51" i="30" s="1"/>
  <c r="K52" i="30" s="1"/>
  <c r="K216" i="34"/>
  <c r="K51" i="34" s="1"/>
  <c r="K52" i="34" s="1"/>
  <c r="O215" i="20"/>
  <c r="O48" i="23"/>
  <c r="M103" i="34"/>
  <c r="L229" i="34"/>
  <c r="L234" i="34" s="1"/>
  <c r="L235" i="34" s="1"/>
  <c r="L107" i="34"/>
  <c r="L106" i="34"/>
  <c r="N127" i="34" s="1"/>
  <c r="L105" i="34"/>
  <c r="I115" i="26"/>
  <c r="N50" i="20"/>
  <c r="K236" i="34"/>
  <c r="K237" i="34"/>
  <c r="K237" i="30"/>
  <c r="K236" i="30"/>
  <c r="M103" i="28"/>
  <c r="L105" i="28"/>
  <c r="L229" i="28"/>
  <c r="L234" i="28" s="1"/>
  <c r="L235" i="28" s="1"/>
  <c r="L106" i="28"/>
  <c r="N127" i="28" s="1"/>
  <c r="L107" i="28"/>
  <c r="Q231" i="34"/>
  <c r="Q108" i="34"/>
  <c r="Q29" i="34"/>
  <c r="Q233" i="34"/>
  <c r="O193" i="34"/>
  <c r="O112" i="34"/>
  <c r="O23" i="34"/>
  <c r="O198" i="34"/>
  <c r="P186" i="34"/>
  <c r="P6" i="34"/>
  <c r="P73" i="34"/>
  <c r="P40" i="34"/>
  <c r="Q110" i="34"/>
  <c r="Q169" i="34"/>
  <c r="Q36" i="34"/>
  <c r="Q231" i="32"/>
  <c r="Q108" i="32"/>
  <c r="Q29" i="32"/>
  <c r="Q233" i="32"/>
  <c r="O193" i="32"/>
  <c r="O112" i="32"/>
  <c r="O23" i="32"/>
  <c r="P40" i="32"/>
  <c r="P73" i="32"/>
  <c r="M30" i="32"/>
  <c r="M31" i="32" s="1"/>
  <c r="M42" i="32" s="1"/>
  <c r="M200" i="32"/>
  <c r="N198" i="32"/>
  <c r="N199" i="32" s="1"/>
  <c r="Q110" i="32"/>
  <c r="Q169" i="32"/>
  <c r="Q36" i="32"/>
  <c r="P186" i="32"/>
  <c r="P6" i="32"/>
  <c r="P198" i="30"/>
  <c r="Q186" i="30"/>
  <c r="Q6" i="30"/>
  <c r="Q40" i="30"/>
  <c r="Q73" i="30"/>
  <c r="P193" i="30"/>
  <c r="P112" i="30"/>
  <c r="P23" i="30"/>
  <c r="P186" i="28"/>
  <c r="P6" i="28"/>
  <c r="M198" i="28"/>
  <c r="M199" i="28" s="1"/>
  <c r="P73" i="28"/>
  <c r="P40" i="28"/>
  <c r="Q169" i="28"/>
  <c r="Q110" i="28"/>
  <c r="Q36" i="28"/>
  <c r="Q29" i="28"/>
  <c r="Q233" i="28"/>
  <c r="O193" i="28"/>
  <c r="O112" i="28"/>
  <c r="O23" i="28"/>
  <c r="Q231" i="28"/>
  <c r="Q108" i="28"/>
  <c r="L231" i="20"/>
  <c r="L229" i="20"/>
  <c r="N200" i="20"/>
  <c r="N233" i="20"/>
  <c r="K234" i="20"/>
  <c r="K235" i="20" s="1"/>
  <c r="J48" i="20"/>
  <c r="K40" i="20"/>
  <c r="G103" i="26"/>
  <c r="G108" i="26"/>
  <c r="G110" i="26"/>
  <c r="G109" i="26"/>
  <c r="G107" i="26"/>
  <c r="O2" i="20"/>
  <c r="O78" i="20"/>
  <c r="O79" i="20" s="1"/>
  <c r="J23" i="20"/>
  <c r="J112" i="20"/>
  <c r="N47" i="20"/>
  <c r="P103" i="20"/>
  <c r="K30" i="20"/>
  <c r="K31" i="20" s="1"/>
  <c r="K42" i="20" s="1"/>
  <c r="L36" i="20"/>
  <c r="L73" i="20" s="1"/>
  <c r="L110" i="20"/>
  <c r="M5" i="20"/>
  <c r="M102" i="20"/>
  <c r="L107" i="20"/>
  <c r="L108" i="20"/>
  <c r="L106" i="20"/>
  <c r="N127" i="20" s="1"/>
  <c r="L105" i="20"/>
  <c r="O60" i="23"/>
  <c r="P232" i="20" s="1"/>
  <c r="N10" i="20"/>
  <c r="N8" i="20"/>
  <c r="N9" i="20"/>
  <c r="N7" i="20"/>
  <c r="N19" i="20"/>
  <c r="N18" i="20"/>
  <c r="N17" i="20"/>
  <c r="N14" i="20"/>
  <c r="N13" i="20"/>
  <c r="N12" i="20"/>
  <c r="N11" i="20"/>
  <c r="N21" i="20"/>
  <c r="N20" i="20"/>
  <c r="N29" i="20"/>
  <c r="N16" i="20"/>
  <c r="N15" i="20"/>
  <c r="N61" i="23"/>
  <c r="O197" i="20" s="1"/>
  <c r="O34" i="20"/>
  <c r="L6" i="20"/>
  <c r="O46" i="23"/>
  <c r="P206" i="20" s="1"/>
  <c r="G135" i="26" s="1"/>
  <c r="L234" i="20" l="1"/>
  <c r="L235" i="20" s="1"/>
  <c r="L237" i="20" s="1"/>
  <c r="N103" i="28"/>
  <c r="M229" i="28"/>
  <c r="M234" i="28" s="1"/>
  <c r="M235" i="28" s="1"/>
  <c r="M105" i="28"/>
  <c r="M107" i="28"/>
  <c r="M106" i="28"/>
  <c r="N103" i="34"/>
  <c r="M105" i="34"/>
  <c r="M107" i="34"/>
  <c r="M229" i="34"/>
  <c r="M234" i="34" s="1"/>
  <c r="M235" i="34" s="1"/>
  <c r="M106" i="34"/>
  <c r="P215" i="20"/>
  <c r="P48" i="23"/>
  <c r="L236" i="34"/>
  <c r="L237" i="34"/>
  <c r="N103" i="30"/>
  <c r="M229" i="30"/>
  <c r="M234" i="30" s="1"/>
  <c r="M235" i="30" s="1"/>
  <c r="M107" i="30"/>
  <c r="M106" i="30"/>
  <c r="M105" i="30"/>
  <c r="L236" i="32"/>
  <c r="L237" i="32"/>
  <c r="L216" i="20"/>
  <c r="L51" i="20" s="1"/>
  <c r="L52" i="20" s="1"/>
  <c r="L216" i="28"/>
  <c r="L51" i="28" s="1"/>
  <c r="L52" i="28" s="1"/>
  <c r="L216" i="32"/>
  <c r="L51" i="32" s="1"/>
  <c r="L52" i="32" s="1"/>
  <c r="L216" i="34"/>
  <c r="L51" i="34" s="1"/>
  <c r="L52" i="34" s="1"/>
  <c r="L216" i="30"/>
  <c r="L51" i="30" s="1"/>
  <c r="L52" i="30" s="1"/>
  <c r="L207" i="20"/>
  <c r="L207" i="32"/>
  <c r="L48" i="32" s="1"/>
  <c r="L49" i="32" s="1"/>
  <c r="L207" i="30"/>
  <c r="L48" i="30" s="1"/>
  <c r="L49" i="30" s="1"/>
  <c r="L207" i="34"/>
  <c r="L48" i="34" s="1"/>
  <c r="L49" i="34" s="1"/>
  <c r="L207" i="28"/>
  <c r="L48" i="28" s="1"/>
  <c r="L49" i="28" s="1"/>
  <c r="N103" i="32"/>
  <c r="M107" i="32"/>
  <c r="M105" i="32"/>
  <c r="M106" i="32"/>
  <c r="M229" i="32"/>
  <c r="M234" i="32" s="1"/>
  <c r="M235" i="32" s="1"/>
  <c r="I119" i="26"/>
  <c r="I117" i="26"/>
  <c r="I118" i="26"/>
  <c r="I120" i="26"/>
  <c r="I125" i="26"/>
  <c r="O50" i="20"/>
  <c r="I113" i="26"/>
  <c r="L237" i="28"/>
  <c r="L236" i="28"/>
  <c r="L236" i="30"/>
  <c r="L237" i="30"/>
  <c r="Q186" i="34"/>
  <c r="Q6" i="34"/>
  <c r="O30" i="34"/>
  <c r="O31" i="34" s="1"/>
  <c r="O42" i="34" s="1"/>
  <c r="O200" i="34"/>
  <c r="O199" i="34"/>
  <c r="P112" i="34"/>
  <c r="P193" i="34"/>
  <c r="P23" i="34"/>
  <c r="Q73" i="34"/>
  <c r="Q40" i="34"/>
  <c r="Q73" i="32"/>
  <c r="Q40" i="32"/>
  <c r="N30" i="32"/>
  <c r="N31" i="32" s="1"/>
  <c r="N42" i="32" s="1"/>
  <c r="N200" i="32"/>
  <c r="P193" i="32"/>
  <c r="P112" i="32"/>
  <c r="P23" i="32"/>
  <c r="Q186" i="32"/>
  <c r="Q6" i="32"/>
  <c r="O198" i="32"/>
  <c r="Q193" i="30"/>
  <c r="Q23" i="30"/>
  <c r="Q112" i="30"/>
  <c r="P30" i="30"/>
  <c r="P31" i="30" s="1"/>
  <c r="P42" i="30" s="1"/>
  <c r="P200" i="30"/>
  <c r="P199" i="30"/>
  <c r="Q73" i="28"/>
  <c r="Q40" i="28"/>
  <c r="N198" i="28"/>
  <c r="N199" i="28" s="1"/>
  <c r="P193" i="28"/>
  <c r="P112" i="28"/>
  <c r="P23" i="28"/>
  <c r="Q186" i="28"/>
  <c r="Q6" i="28"/>
  <c r="M30" i="28"/>
  <c r="M31" i="28" s="1"/>
  <c r="M42" i="28" s="1"/>
  <c r="M200" i="28"/>
  <c r="L236" i="20"/>
  <c r="O200" i="20"/>
  <c r="O233" i="20"/>
  <c r="K237" i="20"/>
  <c r="K236" i="20"/>
  <c r="M231" i="20"/>
  <c r="M229" i="20"/>
  <c r="J49" i="20"/>
  <c r="L40" i="20"/>
  <c r="G113" i="26"/>
  <c r="G120" i="26"/>
  <c r="G117" i="26"/>
  <c r="G119" i="26"/>
  <c r="G118" i="26"/>
  <c r="L30" i="20"/>
  <c r="L31" i="20" s="1"/>
  <c r="L42" i="20" s="1"/>
  <c r="P2" i="20"/>
  <c r="P78" i="20"/>
  <c r="P79" i="20" s="1"/>
  <c r="M106" i="20"/>
  <c r="M108" i="20"/>
  <c r="M107" i="20"/>
  <c r="N102" i="20"/>
  <c r="M105" i="20"/>
  <c r="M36" i="20"/>
  <c r="M73" i="20" s="1"/>
  <c r="M110" i="20"/>
  <c r="Q103" i="20"/>
  <c r="K23" i="20"/>
  <c r="K112" i="20"/>
  <c r="N5" i="20"/>
  <c r="O47" i="20"/>
  <c r="P60" i="23"/>
  <c r="Q232" i="20" s="1"/>
  <c r="O29" i="20"/>
  <c r="O17" i="20"/>
  <c r="O14" i="20"/>
  <c r="O13" i="20"/>
  <c r="O12" i="20"/>
  <c r="O11" i="20"/>
  <c r="O10" i="20"/>
  <c r="O9" i="20"/>
  <c r="O21" i="20"/>
  <c r="O20" i="20"/>
  <c r="O8" i="20"/>
  <c r="O19" i="20"/>
  <c r="O7" i="20"/>
  <c r="O16" i="20"/>
  <c r="O15" i="20"/>
  <c r="O18" i="20"/>
  <c r="M6" i="20"/>
  <c r="O61" i="23"/>
  <c r="P197" i="20" s="1"/>
  <c r="P46" i="23"/>
  <c r="P34" i="20"/>
  <c r="O103" i="34" l="1"/>
  <c r="N229" i="34"/>
  <c r="N234" i="34" s="1"/>
  <c r="N235" i="34" s="1"/>
  <c r="N105" i="34"/>
  <c r="N106" i="34"/>
  <c r="N107" i="34"/>
  <c r="I123" i="26"/>
  <c r="Q215" i="20"/>
  <c r="I145" i="26" s="1"/>
  <c r="M207" i="20"/>
  <c r="M48" i="20" s="1"/>
  <c r="M49" i="20" s="1"/>
  <c r="M207" i="32"/>
  <c r="M48" i="32" s="1"/>
  <c r="M49" i="32" s="1"/>
  <c r="M207" i="30"/>
  <c r="M48" i="30" s="1"/>
  <c r="M49" i="30" s="1"/>
  <c r="M207" i="34"/>
  <c r="M48" i="34" s="1"/>
  <c r="M49" i="34" s="1"/>
  <c r="M207" i="28"/>
  <c r="M48" i="28" s="1"/>
  <c r="M49" i="28" s="1"/>
  <c r="I135" i="26"/>
  <c r="P50" i="20"/>
  <c r="Q206" i="20"/>
  <c r="G145" i="26" s="1"/>
  <c r="G150" i="26" s="1"/>
  <c r="M216" i="20"/>
  <c r="M51" i="20" s="1"/>
  <c r="M52" i="20" s="1"/>
  <c r="M216" i="32"/>
  <c r="M51" i="32" s="1"/>
  <c r="M52" i="32" s="1"/>
  <c r="M216" i="30"/>
  <c r="M51" i="30" s="1"/>
  <c r="M52" i="30" s="1"/>
  <c r="M216" i="34"/>
  <c r="M51" i="34" s="1"/>
  <c r="M52" i="34" s="1"/>
  <c r="M216" i="28"/>
  <c r="M51" i="28" s="1"/>
  <c r="M52" i="28" s="1"/>
  <c r="M237" i="30"/>
  <c r="M236" i="30"/>
  <c r="M237" i="28"/>
  <c r="M236" i="28"/>
  <c r="O103" i="30"/>
  <c r="N229" i="30"/>
  <c r="N234" i="30" s="1"/>
  <c r="N235" i="30" s="1"/>
  <c r="N106" i="30"/>
  <c r="N105" i="30"/>
  <c r="N107" i="30"/>
  <c r="M236" i="34"/>
  <c r="M237" i="34"/>
  <c r="O103" i="28"/>
  <c r="N105" i="28"/>
  <c r="N229" i="28"/>
  <c r="N234" i="28" s="1"/>
  <c r="N235" i="28" s="1"/>
  <c r="N106" i="28"/>
  <c r="N107" i="28"/>
  <c r="M237" i="32"/>
  <c r="M236" i="32"/>
  <c r="I130" i="26"/>
  <c r="I127" i="26"/>
  <c r="I129" i="26"/>
  <c r="I128" i="26"/>
  <c r="O103" i="32"/>
  <c r="N229" i="32"/>
  <c r="N234" i="32" s="1"/>
  <c r="N235" i="32" s="1"/>
  <c r="N106" i="32"/>
  <c r="N107" i="32"/>
  <c r="N105" i="32"/>
  <c r="P198" i="34"/>
  <c r="Q193" i="34"/>
  <c r="Q112" i="34"/>
  <c r="Q23" i="34"/>
  <c r="O30" i="32"/>
  <c r="O31" i="32" s="1"/>
  <c r="O42" i="32" s="1"/>
  <c r="O200" i="32"/>
  <c r="Q193" i="32"/>
  <c r="Q112" i="32"/>
  <c r="Q23" i="32"/>
  <c r="O199" i="32"/>
  <c r="Q198" i="30"/>
  <c r="Q199" i="30" s="1"/>
  <c r="O198" i="28"/>
  <c r="Q193" i="28"/>
  <c r="Q112" i="28"/>
  <c r="Q23" i="28"/>
  <c r="N30" i="28"/>
  <c r="N31" i="28" s="1"/>
  <c r="N42" i="28" s="1"/>
  <c r="N200" i="28"/>
  <c r="N231" i="20"/>
  <c r="N229" i="20"/>
  <c r="P200" i="20"/>
  <c r="P233" i="20"/>
  <c r="M234" i="20"/>
  <c r="M235" i="20" s="1"/>
  <c r="L48" i="20"/>
  <c r="L49" i="20" s="1"/>
  <c r="M40" i="20"/>
  <c r="G123" i="26"/>
  <c r="G128" i="26"/>
  <c r="G129" i="26"/>
  <c r="G130" i="26"/>
  <c r="G127" i="26"/>
  <c r="O5" i="20"/>
  <c r="Q2" i="20"/>
  <c r="Q78" i="20"/>
  <c r="Q79" i="20" s="1"/>
  <c r="P47" i="20"/>
  <c r="N36" i="20"/>
  <c r="N73" i="20" s="1"/>
  <c r="N110" i="20"/>
  <c r="L23" i="20"/>
  <c r="L112" i="20"/>
  <c r="M30" i="20"/>
  <c r="M31" i="20" s="1"/>
  <c r="M42" i="20" s="1"/>
  <c r="N30" i="20"/>
  <c r="N31" i="20" s="1"/>
  <c r="N42" i="20" s="1"/>
  <c r="N108" i="20"/>
  <c r="N106" i="20"/>
  <c r="N107" i="20"/>
  <c r="O102" i="20"/>
  <c r="N105" i="20"/>
  <c r="G149" i="26"/>
  <c r="G138" i="26"/>
  <c r="G137" i="26"/>
  <c r="G139" i="26"/>
  <c r="G140" i="26"/>
  <c r="N6" i="20"/>
  <c r="P61" i="23"/>
  <c r="Q197" i="20" s="1"/>
  <c r="Q34" i="20"/>
  <c r="P29" i="20"/>
  <c r="P9" i="20"/>
  <c r="P21" i="20"/>
  <c r="P20" i="20"/>
  <c r="P17" i="20"/>
  <c r="P8" i="20"/>
  <c r="P19" i="20"/>
  <c r="P18" i="20"/>
  <c r="P16" i="20"/>
  <c r="P15" i="20"/>
  <c r="P10" i="20"/>
  <c r="P12" i="20"/>
  <c r="P11" i="20"/>
  <c r="P13" i="20"/>
  <c r="P14" i="20"/>
  <c r="P7" i="20"/>
  <c r="N216" i="20" l="1"/>
  <c r="N51" i="20" s="1"/>
  <c r="N52" i="20" s="1"/>
  <c r="N216" i="32"/>
  <c r="N51" i="32" s="1"/>
  <c r="N52" i="32" s="1"/>
  <c r="N216" i="30"/>
  <c r="N51" i="30" s="1"/>
  <c r="N52" i="30" s="1"/>
  <c r="N216" i="34"/>
  <c r="N51" i="34" s="1"/>
  <c r="N52" i="34" s="1"/>
  <c r="N216" i="28"/>
  <c r="N51" i="28" s="1"/>
  <c r="N52" i="28" s="1"/>
  <c r="I133" i="26"/>
  <c r="N237" i="28"/>
  <c r="N236" i="28"/>
  <c r="N236" i="30"/>
  <c r="N237" i="30"/>
  <c r="Q47" i="20"/>
  <c r="G148" i="26"/>
  <c r="P103" i="30"/>
  <c r="O105" i="30"/>
  <c r="O229" i="30"/>
  <c r="O234" i="30" s="1"/>
  <c r="O235" i="30" s="1"/>
  <c r="O107" i="30"/>
  <c r="O106" i="30"/>
  <c r="N236" i="34"/>
  <c r="N237" i="34"/>
  <c r="G147" i="26"/>
  <c r="G153" i="26" s="1"/>
  <c r="P103" i="28"/>
  <c r="O105" i="28"/>
  <c r="O107" i="28"/>
  <c r="O229" i="28"/>
  <c r="O234" i="28" s="1"/>
  <c r="O235" i="28" s="1"/>
  <c r="O106" i="28"/>
  <c r="I138" i="26"/>
  <c r="I139" i="26"/>
  <c r="I140" i="26"/>
  <c r="I137" i="26"/>
  <c r="I149" i="26"/>
  <c r="I148" i="26"/>
  <c r="I150" i="26"/>
  <c r="I147" i="26"/>
  <c r="P103" i="34"/>
  <c r="O106" i="34"/>
  <c r="O105" i="34"/>
  <c r="O229" i="34"/>
  <c r="O234" i="34" s="1"/>
  <c r="O235" i="34" s="1"/>
  <c r="O107" i="34"/>
  <c r="N207" i="20"/>
  <c r="N207" i="34"/>
  <c r="N48" i="34" s="1"/>
  <c r="N49" i="34" s="1"/>
  <c r="N207" i="32"/>
  <c r="N48" i="32" s="1"/>
  <c r="N49" i="32" s="1"/>
  <c r="N207" i="30"/>
  <c r="N48" i="30" s="1"/>
  <c r="N49" i="30" s="1"/>
  <c r="N207" i="28"/>
  <c r="N48" i="28" s="1"/>
  <c r="N49" i="28" s="1"/>
  <c r="N236" i="32"/>
  <c r="N237" i="32"/>
  <c r="P103" i="32"/>
  <c r="O106" i="32"/>
  <c r="O105" i="32"/>
  <c r="O229" i="32"/>
  <c r="O234" i="32" s="1"/>
  <c r="O235" i="32" s="1"/>
  <c r="O107" i="32"/>
  <c r="Q50" i="20"/>
  <c r="P30" i="34"/>
  <c r="P31" i="34" s="1"/>
  <c r="P42" i="34" s="1"/>
  <c r="P200" i="34"/>
  <c r="P199" i="34"/>
  <c r="P198" i="32"/>
  <c r="Q30" i="30"/>
  <c r="Q31" i="30" s="1"/>
  <c r="Q42" i="30" s="1"/>
  <c r="Q200" i="30"/>
  <c r="O30" i="28"/>
  <c r="O31" i="28" s="1"/>
  <c r="O42" i="28" s="1"/>
  <c r="O200" i="28"/>
  <c r="O199" i="28"/>
  <c r="O229" i="20"/>
  <c r="O231" i="20"/>
  <c r="Q200" i="20"/>
  <c r="Q233" i="20"/>
  <c r="M237" i="20"/>
  <c r="M236" i="20"/>
  <c r="N234" i="20"/>
  <c r="N235" i="20" s="1"/>
  <c r="N40" i="20"/>
  <c r="G133" i="26"/>
  <c r="M23" i="20"/>
  <c r="M112" i="20"/>
  <c r="Q5" i="20"/>
  <c r="P5" i="20"/>
  <c r="O36" i="20"/>
  <c r="O40" i="20" s="1"/>
  <c r="O110" i="20"/>
  <c r="O30" i="20"/>
  <c r="O31" i="20" s="1"/>
  <c r="O42" i="20" s="1"/>
  <c r="O108" i="20"/>
  <c r="P102" i="20"/>
  <c r="O107" i="20"/>
  <c r="O106" i="20"/>
  <c r="O105" i="20"/>
  <c r="Q29" i="20"/>
  <c r="Q21" i="20"/>
  <c r="Q20" i="20"/>
  <c r="Q8" i="20"/>
  <c r="Q19" i="20"/>
  <c r="Q18" i="20"/>
  <c r="Q16" i="20"/>
  <c r="Q15" i="20"/>
  <c r="Q9" i="20"/>
  <c r="Q10" i="20"/>
  <c r="Q7" i="20"/>
  <c r="Q13" i="20"/>
  <c r="Q17" i="20"/>
  <c r="Q12" i="20"/>
  <c r="Q14" i="20"/>
  <c r="Q11" i="20"/>
  <c r="O6" i="20"/>
  <c r="G143" i="26"/>
  <c r="I153" i="26" l="1"/>
  <c r="Q216" i="34" s="1"/>
  <c r="Q51" i="34" s="1"/>
  <c r="Q52" i="34" s="1"/>
  <c r="Q207" i="20"/>
  <c r="Q207" i="32"/>
  <c r="Q48" i="32" s="1"/>
  <c r="Q49" i="32" s="1"/>
  <c r="Q207" i="30"/>
  <c r="Q48" i="30" s="1"/>
  <c r="Q49" i="30" s="1"/>
  <c r="Q207" i="34"/>
  <c r="Q48" i="34" s="1"/>
  <c r="Q49" i="34" s="1"/>
  <c r="Q207" i="28"/>
  <c r="Q48" i="28" s="1"/>
  <c r="Q49" i="28" s="1"/>
  <c r="O216" i="20"/>
  <c r="O51" i="20" s="1"/>
  <c r="O52" i="20" s="1"/>
  <c r="O216" i="32"/>
  <c r="O51" i="32" s="1"/>
  <c r="O52" i="32" s="1"/>
  <c r="O216" i="30"/>
  <c r="O51" i="30" s="1"/>
  <c r="O52" i="30" s="1"/>
  <c r="O216" i="34"/>
  <c r="O51" i="34" s="1"/>
  <c r="O52" i="34" s="1"/>
  <c r="O216" i="28"/>
  <c r="O51" i="28" s="1"/>
  <c r="O52" i="28" s="1"/>
  <c r="Q103" i="34"/>
  <c r="P107" i="34"/>
  <c r="P106" i="34"/>
  <c r="P105" i="34"/>
  <c r="P229" i="34"/>
  <c r="P234" i="34" s="1"/>
  <c r="P235" i="34" s="1"/>
  <c r="Q216" i="20"/>
  <c r="Q51" i="20" s="1"/>
  <c r="Q52" i="20" s="1"/>
  <c r="Q216" i="32"/>
  <c r="Q51" i="32" s="1"/>
  <c r="Q52" i="32" s="1"/>
  <c r="Q216" i="30"/>
  <c r="Q51" i="30" s="1"/>
  <c r="Q52" i="30" s="1"/>
  <c r="O207" i="20"/>
  <c r="O48" i="20" s="1"/>
  <c r="O49" i="20" s="1"/>
  <c r="O207" i="32"/>
  <c r="O48" i="32" s="1"/>
  <c r="O49" i="32" s="1"/>
  <c r="O207" i="30"/>
  <c r="O48" i="30" s="1"/>
  <c r="O49" i="30" s="1"/>
  <c r="O207" i="34"/>
  <c r="O48" i="34" s="1"/>
  <c r="O49" i="34" s="1"/>
  <c r="O207" i="28"/>
  <c r="O48" i="28" s="1"/>
  <c r="O49" i="28" s="1"/>
  <c r="O236" i="28"/>
  <c r="O237" i="28"/>
  <c r="O237" i="30"/>
  <c r="O236" i="30"/>
  <c r="Q103" i="32"/>
  <c r="P107" i="32"/>
  <c r="P105" i="32"/>
  <c r="P106" i="32"/>
  <c r="P229" i="32"/>
  <c r="P234" i="32" s="1"/>
  <c r="P235" i="32" s="1"/>
  <c r="O236" i="32"/>
  <c r="O237" i="32"/>
  <c r="P207" i="20"/>
  <c r="P207" i="34"/>
  <c r="P48" i="34" s="1"/>
  <c r="P49" i="34" s="1"/>
  <c r="P207" i="28"/>
  <c r="P48" i="28" s="1"/>
  <c r="P49" i="28" s="1"/>
  <c r="P207" i="32"/>
  <c r="P48" i="32" s="1"/>
  <c r="P49" i="32" s="1"/>
  <c r="P207" i="30"/>
  <c r="P48" i="30" s="1"/>
  <c r="P49" i="30" s="1"/>
  <c r="O236" i="34"/>
  <c r="O237" i="34"/>
  <c r="I143" i="26"/>
  <c r="Q103" i="28"/>
  <c r="P105" i="28"/>
  <c r="P229" i="28"/>
  <c r="P234" i="28" s="1"/>
  <c r="P235" i="28" s="1"/>
  <c r="P106" i="28"/>
  <c r="P107" i="28"/>
  <c r="Q103" i="30"/>
  <c r="P105" i="30"/>
  <c r="P229" i="30"/>
  <c r="P234" i="30" s="1"/>
  <c r="P235" i="30" s="1"/>
  <c r="P106" i="30"/>
  <c r="P107" i="30"/>
  <c r="Q198" i="34"/>
  <c r="P30" i="32"/>
  <c r="P31" i="32" s="1"/>
  <c r="P42" i="32" s="1"/>
  <c r="P200" i="32"/>
  <c r="P199" i="32"/>
  <c r="P198" i="28"/>
  <c r="O234" i="20"/>
  <c r="O235" i="20" s="1"/>
  <c r="P229" i="20"/>
  <c r="P231" i="20"/>
  <c r="N236" i="20"/>
  <c r="N237" i="20"/>
  <c r="N48" i="20"/>
  <c r="N49" i="20" s="1"/>
  <c r="O73" i="20"/>
  <c r="P36" i="20"/>
  <c r="P40" i="20" s="1"/>
  <c r="P110" i="20"/>
  <c r="N23" i="20"/>
  <c r="N112" i="20"/>
  <c r="P106" i="20"/>
  <c r="P107" i="20"/>
  <c r="P108" i="20"/>
  <c r="Q102" i="20"/>
  <c r="P105" i="20"/>
  <c r="P30" i="20"/>
  <c r="P31" i="20" s="1"/>
  <c r="P42" i="20" s="1"/>
  <c r="P6" i="20"/>
  <c r="Q216" i="28" l="1"/>
  <c r="Q51" i="28" s="1"/>
  <c r="Q52" i="28" s="1"/>
  <c r="P236" i="34"/>
  <c r="P237" i="34"/>
  <c r="P237" i="28"/>
  <c r="P236" i="28"/>
  <c r="Q106" i="30"/>
  <c r="Q105" i="30"/>
  <c r="Q229" i="30"/>
  <c r="Q234" i="30" s="1"/>
  <c r="Q235" i="30" s="1"/>
  <c r="Q107" i="30"/>
  <c r="Q229" i="34"/>
  <c r="Q234" i="34" s="1"/>
  <c r="Q235" i="34" s="1"/>
  <c r="Q107" i="34"/>
  <c r="Q106" i="34"/>
  <c r="Q105" i="34"/>
  <c r="Q229" i="28"/>
  <c r="Q234" i="28" s="1"/>
  <c r="Q235" i="28" s="1"/>
  <c r="Q107" i="28"/>
  <c r="Q106" i="28"/>
  <c r="Q105" i="28"/>
  <c r="Q229" i="32"/>
  <c r="Q234" i="32" s="1"/>
  <c r="Q235" i="32" s="1"/>
  <c r="Q106" i="32"/>
  <c r="Q107" i="32"/>
  <c r="Q105" i="32"/>
  <c r="P236" i="30"/>
  <c r="P237" i="30"/>
  <c r="P216" i="20"/>
  <c r="P51" i="20" s="1"/>
  <c r="P52" i="20" s="1"/>
  <c r="P216" i="32"/>
  <c r="P51" i="32" s="1"/>
  <c r="P52" i="32" s="1"/>
  <c r="P216" i="30"/>
  <c r="P51" i="30" s="1"/>
  <c r="P52" i="30" s="1"/>
  <c r="P216" i="34"/>
  <c r="P51" i="34" s="1"/>
  <c r="P52" i="34" s="1"/>
  <c r="P216" i="28"/>
  <c r="P51" i="28" s="1"/>
  <c r="P52" i="28" s="1"/>
  <c r="P236" i="32"/>
  <c r="P237" i="32"/>
  <c r="Q30" i="34"/>
  <c r="Q31" i="34" s="1"/>
  <c r="Q42" i="34" s="1"/>
  <c r="Q200" i="34"/>
  <c r="Q199" i="34"/>
  <c r="Q198" i="32"/>
  <c r="P30" i="28"/>
  <c r="P31" i="28" s="1"/>
  <c r="P42" i="28" s="1"/>
  <c r="P200" i="28"/>
  <c r="P199" i="28"/>
  <c r="O237" i="20"/>
  <c r="O236" i="20"/>
  <c r="Q231" i="20"/>
  <c r="Q229" i="20"/>
  <c r="P234" i="20"/>
  <c r="P235" i="20" s="1"/>
  <c r="P48" i="20"/>
  <c r="P49" i="20" s="1"/>
  <c r="Q48" i="20"/>
  <c r="Q49" i="20" s="1"/>
  <c r="P73" i="20"/>
  <c r="Q106" i="20"/>
  <c r="Q108" i="20"/>
  <c r="Q107" i="20"/>
  <c r="Q105" i="20"/>
  <c r="O23" i="20"/>
  <c r="O112" i="20"/>
  <c r="Q36" i="20"/>
  <c r="Q40" i="20" s="1"/>
  <c r="Q110" i="20"/>
  <c r="Q30" i="20"/>
  <c r="Q31" i="20" s="1"/>
  <c r="Q42" i="20" s="1"/>
  <c r="Q6" i="20"/>
  <c r="Q234" i="20" l="1"/>
  <c r="Q235" i="20" s="1"/>
  <c r="Q237" i="20" s="1"/>
  <c r="Q236" i="28"/>
  <c r="Q237" i="28"/>
  <c r="Q237" i="30"/>
  <c r="Q236" i="30"/>
  <c r="Q237" i="32"/>
  <c r="Q236" i="32"/>
  <c r="Q236" i="34"/>
  <c r="Q237" i="34"/>
  <c r="Q30" i="32"/>
  <c r="Q31" i="32" s="1"/>
  <c r="Q42" i="32" s="1"/>
  <c r="Q200" i="32"/>
  <c r="Q199" i="32"/>
  <c r="Q198" i="28"/>
  <c r="P236" i="20"/>
  <c r="P237" i="20"/>
  <c r="Q73" i="20"/>
  <c r="P23" i="20"/>
  <c r="P112" i="20"/>
  <c r="Q236" i="20" l="1"/>
  <c r="Q30" i="28"/>
  <c r="Q31" i="28" s="1"/>
  <c r="Q42" i="28" s="1"/>
  <c r="Q200" i="28"/>
  <c r="Q199" i="28"/>
  <c r="Q23" i="20"/>
  <c r="Q112" i="20"/>
  <c r="B10" i="25" l="1"/>
  <c r="K3" i="23" l="1"/>
  <c r="K13" i="23" s="1"/>
  <c r="B196" i="20" s="1"/>
  <c r="C196" i="20" s="1"/>
  <c r="C28" i="20" s="1"/>
  <c r="C31" i="20" s="1"/>
  <c r="K3" i="27"/>
  <c r="K13" i="27" s="1"/>
  <c r="K3" i="31"/>
  <c r="K13" i="31" s="1"/>
  <c r="K3" i="33"/>
  <c r="K13" i="33" s="1"/>
  <c r="K3" i="29"/>
  <c r="K13" i="29" s="1"/>
  <c r="B5" i="23"/>
  <c r="D126" i="20" s="1"/>
  <c r="B196" i="30" l="1"/>
  <c r="C196" i="30" s="1"/>
  <c r="B5" i="29"/>
  <c r="B196" i="32"/>
  <c r="C196" i="32" s="1"/>
  <c r="B5" i="31"/>
  <c r="B196" i="34"/>
  <c r="C196" i="34" s="1"/>
  <c r="B5" i="33"/>
  <c r="B196" i="28"/>
  <c r="C196" i="28" s="1"/>
  <c r="B5" i="27"/>
  <c r="D196" i="20"/>
  <c r="D28" i="20" s="1"/>
  <c r="D31" i="20" s="1"/>
  <c r="D42" i="20" s="1"/>
  <c r="C200" i="20"/>
  <c r="C80" i="20"/>
  <c r="C111" i="20" s="1"/>
  <c r="D80" i="20"/>
  <c r="D111" i="20" s="1"/>
  <c r="E80" i="20"/>
  <c r="E111" i="20" s="1"/>
  <c r="F80" i="20"/>
  <c r="F111" i="20" s="1"/>
  <c r="G80" i="20"/>
  <c r="G111" i="20" s="1"/>
  <c r="H80" i="20"/>
  <c r="H111" i="20" s="1"/>
  <c r="I80" i="20"/>
  <c r="I111" i="20" s="1"/>
  <c r="J80" i="20"/>
  <c r="J111" i="20" s="1"/>
  <c r="K80" i="20"/>
  <c r="K111" i="20" s="1"/>
  <c r="L80" i="20"/>
  <c r="L111" i="20" s="1"/>
  <c r="M80" i="20"/>
  <c r="M111" i="20" s="1"/>
  <c r="N80" i="20"/>
  <c r="N111" i="20" s="1"/>
  <c r="O80" i="20"/>
  <c r="O111" i="20" s="1"/>
  <c r="P80" i="20"/>
  <c r="P111" i="20" s="1"/>
  <c r="Q80" i="20"/>
  <c r="Q111" i="20" s="1"/>
  <c r="B16" i="23"/>
  <c r="D126" i="28" l="1"/>
  <c r="B16" i="27"/>
  <c r="C80" i="28"/>
  <c r="C111" i="28" s="1"/>
  <c r="D80" i="28"/>
  <c r="D111" i="28" s="1"/>
  <c r="E80" i="28"/>
  <c r="E111" i="28" s="1"/>
  <c r="F80" i="28"/>
  <c r="F111" i="28" s="1"/>
  <c r="G80" i="28"/>
  <c r="G111" i="28" s="1"/>
  <c r="H80" i="28"/>
  <c r="H111" i="28" s="1"/>
  <c r="I80" i="28"/>
  <c r="I111" i="28" s="1"/>
  <c r="J80" i="28"/>
  <c r="J111" i="28" s="1"/>
  <c r="K80" i="28"/>
  <c r="K111" i="28" s="1"/>
  <c r="L80" i="28"/>
  <c r="L111" i="28" s="1"/>
  <c r="M80" i="28"/>
  <c r="M111" i="28" s="1"/>
  <c r="N80" i="28"/>
  <c r="N111" i="28" s="1"/>
  <c r="O80" i="28"/>
  <c r="O111" i="28" s="1"/>
  <c r="P80" i="28"/>
  <c r="P111" i="28" s="1"/>
  <c r="Q80" i="28"/>
  <c r="Q111" i="28" s="1"/>
  <c r="D196" i="28"/>
  <c r="C28" i="28"/>
  <c r="C31" i="28" s="1"/>
  <c r="C42" i="28" s="1"/>
  <c r="C200" i="28"/>
  <c r="B16" i="33"/>
  <c r="D126" i="34"/>
  <c r="C80" i="34"/>
  <c r="C111" i="34" s="1"/>
  <c r="D80" i="34"/>
  <c r="D111" i="34" s="1"/>
  <c r="E80" i="34"/>
  <c r="E111" i="34" s="1"/>
  <c r="F80" i="34"/>
  <c r="F111" i="34" s="1"/>
  <c r="G80" i="34"/>
  <c r="G111" i="34" s="1"/>
  <c r="H80" i="34"/>
  <c r="H111" i="34" s="1"/>
  <c r="I80" i="34"/>
  <c r="I111" i="34" s="1"/>
  <c r="J80" i="34"/>
  <c r="J111" i="34" s="1"/>
  <c r="K80" i="34"/>
  <c r="K111" i="34" s="1"/>
  <c r="L80" i="34"/>
  <c r="L111" i="34" s="1"/>
  <c r="M80" i="34"/>
  <c r="M111" i="34" s="1"/>
  <c r="N80" i="34"/>
  <c r="N111" i="34" s="1"/>
  <c r="O80" i="34"/>
  <c r="O111" i="34" s="1"/>
  <c r="P80" i="34"/>
  <c r="P111" i="34" s="1"/>
  <c r="Q80" i="34"/>
  <c r="Q111" i="34" s="1"/>
  <c r="C200" i="34"/>
  <c r="D196" i="34"/>
  <c r="C28" i="34"/>
  <c r="C31" i="34" s="1"/>
  <c r="C42" i="34" s="1"/>
  <c r="D126" i="32"/>
  <c r="B16" i="31"/>
  <c r="C80" i="32"/>
  <c r="C111" i="32" s="1"/>
  <c r="D80" i="32"/>
  <c r="D111" i="32" s="1"/>
  <c r="E80" i="32"/>
  <c r="E111" i="32" s="1"/>
  <c r="F80" i="32"/>
  <c r="F111" i="32" s="1"/>
  <c r="G80" i="32"/>
  <c r="G111" i="32" s="1"/>
  <c r="H80" i="32"/>
  <c r="H111" i="32" s="1"/>
  <c r="I80" i="32"/>
  <c r="I111" i="32" s="1"/>
  <c r="J80" i="32"/>
  <c r="J111" i="32" s="1"/>
  <c r="K80" i="32"/>
  <c r="K111" i="32" s="1"/>
  <c r="L80" i="32"/>
  <c r="L111" i="32" s="1"/>
  <c r="M80" i="32"/>
  <c r="M111" i="32" s="1"/>
  <c r="N80" i="32"/>
  <c r="N111" i="32" s="1"/>
  <c r="O80" i="32"/>
  <c r="O111" i="32" s="1"/>
  <c r="P80" i="32"/>
  <c r="P111" i="32" s="1"/>
  <c r="Q80" i="32"/>
  <c r="Q111" i="32" s="1"/>
  <c r="D196" i="32"/>
  <c r="C28" i="32"/>
  <c r="C31" i="32" s="1"/>
  <c r="C42" i="32" s="1"/>
  <c r="C200" i="32"/>
  <c r="C167" i="20"/>
  <c r="D167" i="20"/>
  <c r="D4" i="20" s="1"/>
  <c r="G167" i="20"/>
  <c r="F167" i="20"/>
  <c r="F4" i="20" s="1"/>
  <c r="E167" i="20"/>
  <c r="H167" i="20"/>
  <c r="H4" i="20" s="1"/>
  <c r="I167" i="20"/>
  <c r="I4" i="20" s="1"/>
  <c r="J167" i="20"/>
  <c r="J4" i="20" s="1"/>
  <c r="K167" i="20"/>
  <c r="L167" i="20"/>
  <c r="M167" i="20"/>
  <c r="N167" i="20"/>
  <c r="O167" i="20"/>
  <c r="Q167" i="20"/>
  <c r="Q4" i="20" s="1"/>
  <c r="P167" i="20"/>
  <c r="P4" i="20" s="1"/>
  <c r="D126" i="30"/>
  <c r="B16" i="29"/>
  <c r="D80" i="30"/>
  <c r="D111" i="30" s="1"/>
  <c r="C80" i="30"/>
  <c r="C111" i="30" s="1"/>
  <c r="E80" i="30"/>
  <c r="E111" i="30" s="1"/>
  <c r="F80" i="30"/>
  <c r="F111" i="30" s="1"/>
  <c r="G80" i="30"/>
  <c r="G111" i="30" s="1"/>
  <c r="H80" i="30"/>
  <c r="H111" i="30" s="1"/>
  <c r="I80" i="30"/>
  <c r="I111" i="30" s="1"/>
  <c r="J80" i="30"/>
  <c r="J111" i="30" s="1"/>
  <c r="K80" i="30"/>
  <c r="K111" i="30" s="1"/>
  <c r="L80" i="30"/>
  <c r="L111" i="30" s="1"/>
  <c r="M80" i="30"/>
  <c r="M111" i="30" s="1"/>
  <c r="N80" i="30"/>
  <c r="N111" i="30" s="1"/>
  <c r="O80" i="30"/>
  <c r="O111" i="30" s="1"/>
  <c r="P80" i="30"/>
  <c r="P111" i="30" s="1"/>
  <c r="Q80" i="30"/>
  <c r="Q111" i="30" s="1"/>
  <c r="E196" i="20"/>
  <c r="D200" i="20"/>
  <c r="D196" i="30"/>
  <c r="C28" i="30"/>
  <c r="C31" i="30" s="1"/>
  <c r="C42" i="30" s="1"/>
  <c r="C200" i="30"/>
  <c r="L4" i="20"/>
  <c r="M4" i="20"/>
  <c r="O4" i="20"/>
  <c r="C42" i="20"/>
  <c r="E4" i="20"/>
  <c r="N192" i="20" l="1"/>
  <c r="N194" i="20" s="1"/>
  <c r="N201" i="20" s="1"/>
  <c r="N202" i="20" s="1"/>
  <c r="N187" i="20"/>
  <c r="N189" i="20" s="1"/>
  <c r="N190" i="20" s="1"/>
  <c r="M192" i="20"/>
  <c r="M194" i="20" s="1"/>
  <c r="M201" i="20" s="1"/>
  <c r="M202" i="20" s="1"/>
  <c r="M187" i="20"/>
  <c r="M189" i="20" s="1"/>
  <c r="M190" i="20" s="1"/>
  <c r="G192" i="20"/>
  <c r="G194" i="20" s="1"/>
  <c r="G187" i="20"/>
  <c r="G189" i="20" s="1"/>
  <c r="G190" i="20" s="1"/>
  <c r="D28" i="34"/>
  <c r="D31" i="34" s="1"/>
  <c r="D42" i="34" s="1"/>
  <c r="E196" i="34"/>
  <c r="D200" i="34"/>
  <c r="F196" i="20"/>
  <c r="F28" i="20" s="1"/>
  <c r="F31" i="20" s="1"/>
  <c r="F42" i="20" s="1"/>
  <c r="E200" i="20"/>
  <c r="D167" i="30"/>
  <c r="C167" i="30"/>
  <c r="E167" i="30"/>
  <c r="F167" i="30"/>
  <c r="G167" i="30"/>
  <c r="H167" i="30"/>
  <c r="I167" i="30"/>
  <c r="J167" i="30"/>
  <c r="K167" i="30"/>
  <c r="L167" i="30"/>
  <c r="M167" i="30"/>
  <c r="N167" i="30"/>
  <c r="O167" i="30"/>
  <c r="P167" i="30"/>
  <c r="Q167" i="30"/>
  <c r="L192" i="20"/>
  <c r="L194" i="20" s="1"/>
  <c r="L201" i="20" s="1"/>
  <c r="L202" i="20" s="1"/>
  <c r="L187" i="20"/>
  <c r="L189" i="20" s="1"/>
  <c r="L190" i="20" s="1"/>
  <c r="D192" i="20"/>
  <c r="D194" i="20" s="1"/>
  <c r="D201" i="20" s="1"/>
  <c r="D202" i="20" s="1"/>
  <c r="D187" i="20"/>
  <c r="D189" i="20" s="1"/>
  <c r="D190" i="20" s="1"/>
  <c r="N4" i="20"/>
  <c r="C192" i="20"/>
  <c r="C194" i="20" s="1"/>
  <c r="C201" i="20" s="1"/>
  <c r="C202" i="20" s="1"/>
  <c r="C187" i="20"/>
  <c r="C189" i="20" s="1"/>
  <c r="C190" i="20" s="1"/>
  <c r="E28" i="20"/>
  <c r="E31" i="20" s="1"/>
  <c r="E42" i="20" s="1"/>
  <c r="P192" i="20"/>
  <c r="P194" i="20" s="1"/>
  <c r="P201" i="20" s="1"/>
  <c r="P202" i="20" s="1"/>
  <c r="P116" i="20" s="1"/>
  <c r="P187" i="20"/>
  <c r="P189" i="20" s="1"/>
  <c r="P190" i="20" s="1"/>
  <c r="I192" i="20"/>
  <c r="I194" i="20" s="1"/>
  <c r="I201" i="20" s="1"/>
  <c r="I202" i="20" s="1"/>
  <c r="I116" i="20" s="1"/>
  <c r="I187" i="20"/>
  <c r="I189" i="20" s="1"/>
  <c r="I190" i="20" s="1"/>
  <c r="D28" i="30"/>
  <c r="D31" i="30" s="1"/>
  <c r="D42" i="30" s="1"/>
  <c r="E196" i="30"/>
  <c r="D200" i="30"/>
  <c r="F192" i="20"/>
  <c r="F194" i="20" s="1"/>
  <c r="F187" i="20"/>
  <c r="F189" i="20" s="1"/>
  <c r="F190" i="20" s="1"/>
  <c r="H192" i="20"/>
  <c r="H194" i="20" s="1"/>
  <c r="H201" i="20" s="1"/>
  <c r="H202" i="20" s="1"/>
  <c r="H116" i="20" s="1"/>
  <c r="H187" i="20"/>
  <c r="H189" i="20" s="1"/>
  <c r="H190" i="20" s="1"/>
  <c r="C167" i="32"/>
  <c r="D167" i="32"/>
  <c r="E167" i="32"/>
  <c r="F167" i="32"/>
  <c r="G167" i="32"/>
  <c r="H167" i="32"/>
  <c r="I167" i="32"/>
  <c r="J167" i="32"/>
  <c r="K167" i="32"/>
  <c r="L167" i="32"/>
  <c r="M167" i="32"/>
  <c r="N167" i="32"/>
  <c r="O167" i="32"/>
  <c r="P167" i="32"/>
  <c r="Q167" i="32"/>
  <c r="E196" i="28"/>
  <c r="D28" i="28"/>
  <c r="D31" i="28" s="1"/>
  <c r="D42" i="28" s="1"/>
  <c r="D200" i="28"/>
  <c r="C167" i="28"/>
  <c r="D167" i="28"/>
  <c r="E167" i="28"/>
  <c r="F167" i="28"/>
  <c r="G167" i="28"/>
  <c r="H167" i="28"/>
  <c r="I167" i="28"/>
  <c r="J167" i="28"/>
  <c r="K167" i="28"/>
  <c r="L167" i="28"/>
  <c r="M167" i="28"/>
  <c r="N167" i="28"/>
  <c r="O167" i="28"/>
  <c r="P167" i="28"/>
  <c r="Q167" i="28"/>
  <c r="K192" i="20"/>
  <c r="K194" i="20" s="1"/>
  <c r="K201" i="20" s="1"/>
  <c r="K202" i="20" s="1"/>
  <c r="K116" i="20" s="1"/>
  <c r="K187" i="20"/>
  <c r="K189" i="20" s="1"/>
  <c r="K190" i="20" s="1"/>
  <c r="C167" i="34"/>
  <c r="D167" i="34"/>
  <c r="E167" i="34"/>
  <c r="F167" i="34"/>
  <c r="G167" i="34"/>
  <c r="H167" i="34"/>
  <c r="I167" i="34"/>
  <c r="J167" i="34"/>
  <c r="K167" i="34"/>
  <c r="L167" i="34"/>
  <c r="M167" i="34"/>
  <c r="N167" i="34"/>
  <c r="O167" i="34"/>
  <c r="P167" i="34"/>
  <c r="Q167" i="34"/>
  <c r="K4" i="20"/>
  <c r="J192" i="20"/>
  <c r="J194" i="20" s="1"/>
  <c r="J201" i="20" s="1"/>
  <c r="J202" i="20" s="1"/>
  <c r="J116" i="20" s="1"/>
  <c r="J187" i="20"/>
  <c r="J189" i="20" s="1"/>
  <c r="J190" i="20" s="1"/>
  <c r="G4" i="20"/>
  <c r="Q192" i="20"/>
  <c r="Q194" i="20" s="1"/>
  <c r="Q201" i="20" s="1"/>
  <c r="Q202" i="20" s="1"/>
  <c r="Q116" i="20" s="1"/>
  <c r="Q187" i="20"/>
  <c r="Q189" i="20" s="1"/>
  <c r="Q190" i="20" s="1"/>
  <c r="E196" i="32"/>
  <c r="D28" i="32"/>
  <c r="D31" i="32" s="1"/>
  <c r="D42" i="32" s="1"/>
  <c r="D200" i="32"/>
  <c r="C4" i="20"/>
  <c r="O192" i="20"/>
  <c r="O194" i="20" s="1"/>
  <c r="O201" i="20" s="1"/>
  <c r="O202" i="20" s="1"/>
  <c r="O116" i="20" s="1"/>
  <c r="O187" i="20"/>
  <c r="O189" i="20" s="1"/>
  <c r="O190" i="20" s="1"/>
  <c r="E192" i="20"/>
  <c r="E194" i="20" s="1"/>
  <c r="E187" i="20"/>
  <c r="E189" i="20" s="1"/>
  <c r="E190" i="20" s="1"/>
  <c r="N116" i="20"/>
  <c r="L116" i="20"/>
  <c r="C116" i="20" l="1"/>
  <c r="C217" i="20"/>
  <c r="D217" i="20"/>
  <c r="D218" i="20" s="1"/>
  <c r="J15" i="26" s="1"/>
  <c r="D208" i="20"/>
  <c r="D209" i="20" s="1"/>
  <c r="H15" i="26" s="1"/>
  <c r="D116" i="20"/>
  <c r="F196" i="32"/>
  <c r="E28" i="32"/>
  <c r="E31" i="32" s="1"/>
  <c r="E42" i="32" s="1"/>
  <c r="E200" i="32"/>
  <c r="I192" i="28"/>
  <c r="I194" i="28" s="1"/>
  <c r="I201" i="28" s="1"/>
  <c r="I202" i="28" s="1"/>
  <c r="I4" i="28"/>
  <c r="I187" i="28"/>
  <c r="E192" i="30"/>
  <c r="E194" i="30" s="1"/>
  <c r="E4" i="30"/>
  <c r="E187" i="30"/>
  <c r="G4" i="34"/>
  <c r="G192" i="34"/>
  <c r="G194" i="34" s="1"/>
  <c r="G187" i="34"/>
  <c r="H192" i="28"/>
  <c r="H194" i="28" s="1"/>
  <c r="H201" i="28" s="1"/>
  <c r="H202" i="28" s="1"/>
  <c r="H4" i="28"/>
  <c r="H187" i="28"/>
  <c r="F196" i="28"/>
  <c r="E28" i="28"/>
  <c r="E31" i="28" s="1"/>
  <c r="E42" i="28" s="1"/>
  <c r="E200" i="28"/>
  <c r="F192" i="34"/>
  <c r="F194" i="34" s="1"/>
  <c r="F4" i="34"/>
  <c r="F187" i="34"/>
  <c r="O4" i="28"/>
  <c r="O192" i="28"/>
  <c r="O194" i="28" s="1"/>
  <c r="O201" i="28" s="1"/>
  <c r="O202" i="28" s="1"/>
  <c r="O187" i="28"/>
  <c r="G192" i="28"/>
  <c r="G194" i="28" s="1"/>
  <c r="G4" i="28"/>
  <c r="G187" i="28"/>
  <c r="Q4" i="32"/>
  <c r="Q192" i="32"/>
  <c r="Q194" i="32" s="1"/>
  <c r="Q201" i="32" s="1"/>
  <c r="Q202" i="32" s="1"/>
  <c r="Q187" i="32"/>
  <c r="I192" i="32"/>
  <c r="I194" i="32" s="1"/>
  <c r="I201" i="32" s="1"/>
  <c r="I202" i="32" s="1"/>
  <c r="I4" i="32"/>
  <c r="I187" i="32"/>
  <c r="H217" i="20"/>
  <c r="H218" i="20" s="1"/>
  <c r="J55" i="26" s="1"/>
  <c r="H208" i="20"/>
  <c r="H209" i="20" s="1"/>
  <c r="H55" i="26" s="1"/>
  <c r="K192" i="30"/>
  <c r="K194" i="30" s="1"/>
  <c r="K201" i="30" s="1"/>
  <c r="K202" i="30" s="1"/>
  <c r="K4" i="30"/>
  <c r="K187" i="30"/>
  <c r="D4" i="30"/>
  <c r="D192" i="30"/>
  <c r="D194" i="30" s="1"/>
  <c r="D201" i="30" s="1"/>
  <c r="D202" i="30" s="1"/>
  <c r="D187" i="30"/>
  <c r="Q192" i="34"/>
  <c r="Q194" i="34" s="1"/>
  <c r="Q201" i="34" s="1"/>
  <c r="Q202" i="34" s="1"/>
  <c r="Q4" i="34"/>
  <c r="Q187" i="34"/>
  <c r="J4" i="28"/>
  <c r="J192" i="28"/>
  <c r="J194" i="28" s="1"/>
  <c r="J201" i="28" s="1"/>
  <c r="J202" i="28" s="1"/>
  <c r="J187" i="28"/>
  <c r="D192" i="32"/>
  <c r="D194" i="32" s="1"/>
  <c r="D201" i="32" s="1"/>
  <c r="D202" i="32" s="1"/>
  <c r="D4" i="32"/>
  <c r="D187" i="32"/>
  <c r="N192" i="30"/>
  <c r="N194" i="30" s="1"/>
  <c r="N201" i="30" s="1"/>
  <c r="N202" i="30" s="1"/>
  <c r="N4" i="30"/>
  <c r="N187" i="30"/>
  <c r="M4" i="34"/>
  <c r="M192" i="34"/>
  <c r="M194" i="34" s="1"/>
  <c r="M201" i="34" s="1"/>
  <c r="M202" i="34" s="1"/>
  <c r="M187" i="34"/>
  <c r="F4" i="28"/>
  <c r="F192" i="28"/>
  <c r="F194" i="28" s="1"/>
  <c r="F187" i="28"/>
  <c r="J4" i="30"/>
  <c r="J192" i="30"/>
  <c r="J194" i="30" s="1"/>
  <c r="J201" i="30" s="1"/>
  <c r="J202" i="30" s="1"/>
  <c r="J187" i="30"/>
  <c r="O208" i="20"/>
  <c r="O209" i="20" s="1"/>
  <c r="H125" i="26" s="1"/>
  <c r="O217" i="20"/>
  <c r="O218" i="20" s="1"/>
  <c r="J125" i="26" s="1"/>
  <c r="L4" i="34"/>
  <c r="L192" i="34"/>
  <c r="L194" i="34" s="1"/>
  <c r="L201" i="34" s="1"/>
  <c r="L202" i="34" s="1"/>
  <c r="L187" i="34"/>
  <c r="D192" i="34"/>
  <c r="D194" i="34" s="1"/>
  <c r="D201" i="34" s="1"/>
  <c r="D202" i="34" s="1"/>
  <c r="D4" i="34"/>
  <c r="D187" i="34"/>
  <c r="M192" i="28"/>
  <c r="M194" i="28" s="1"/>
  <c r="M201" i="28" s="1"/>
  <c r="M202" i="28" s="1"/>
  <c r="M4" i="28"/>
  <c r="M187" i="28"/>
  <c r="E192" i="28"/>
  <c r="E194" i="28" s="1"/>
  <c r="E201" i="28" s="1"/>
  <c r="E202" i="28" s="1"/>
  <c r="E4" i="28"/>
  <c r="E187" i="28"/>
  <c r="O192" i="32"/>
  <c r="O194" i="32" s="1"/>
  <c r="O201" i="32" s="1"/>
  <c r="O202" i="32" s="1"/>
  <c r="O4" i="32"/>
  <c r="O187" i="32"/>
  <c r="G4" i="32"/>
  <c r="G192" i="32"/>
  <c r="G194" i="32" s="1"/>
  <c r="G187" i="32"/>
  <c r="Q4" i="30"/>
  <c r="Q192" i="30"/>
  <c r="Q194" i="30" s="1"/>
  <c r="Q201" i="30" s="1"/>
  <c r="Q202" i="30" s="1"/>
  <c r="Q187" i="30"/>
  <c r="I192" i="30"/>
  <c r="I194" i="30" s="1"/>
  <c r="I201" i="30" s="1"/>
  <c r="I202" i="30" s="1"/>
  <c r="I4" i="30"/>
  <c r="I187" i="30"/>
  <c r="G196" i="20"/>
  <c r="G200" i="20" s="1"/>
  <c r="G201" i="20" s="1"/>
  <c r="G202" i="20" s="1"/>
  <c r="F200" i="20"/>
  <c r="F201" i="20" s="1"/>
  <c r="F202" i="20" s="1"/>
  <c r="I192" i="34"/>
  <c r="I194" i="34" s="1"/>
  <c r="I201" i="34" s="1"/>
  <c r="I202" i="34" s="1"/>
  <c r="I4" i="34"/>
  <c r="I187" i="34"/>
  <c r="L192" i="32"/>
  <c r="L194" i="32" s="1"/>
  <c r="L201" i="32" s="1"/>
  <c r="L202" i="32" s="1"/>
  <c r="L4" i="32"/>
  <c r="L187" i="32"/>
  <c r="P192" i="34"/>
  <c r="P194" i="34" s="1"/>
  <c r="P201" i="34" s="1"/>
  <c r="P202" i="34" s="1"/>
  <c r="P4" i="34"/>
  <c r="P187" i="34"/>
  <c r="Q4" i="28"/>
  <c r="Q192" i="28"/>
  <c r="Q194" i="28" s="1"/>
  <c r="Q201" i="28" s="1"/>
  <c r="Q202" i="28" s="1"/>
  <c r="Q187" i="28"/>
  <c r="K4" i="32"/>
  <c r="K192" i="32"/>
  <c r="K194" i="32" s="1"/>
  <c r="K201" i="32" s="1"/>
  <c r="K202" i="32" s="1"/>
  <c r="K187" i="32"/>
  <c r="M192" i="30"/>
  <c r="M194" i="30" s="1"/>
  <c r="M201" i="30" s="1"/>
  <c r="M202" i="30" s="1"/>
  <c r="M4" i="30"/>
  <c r="M187" i="30"/>
  <c r="P192" i="28"/>
  <c r="P194" i="28" s="1"/>
  <c r="P201" i="28" s="1"/>
  <c r="P202" i="28" s="1"/>
  <c r="P4" i="28"/>
  <c r="P187" i="28"/>
  <c r="J192" i="32"/>
  <c r="J194" i="32" s="1"/>
  <c r="J201" i="32" s="1"/>
  <c r="J202" i="32" s="1"/>
  <c r="J4" i="32"/>
  <c r="J187" i="32"/>
  <c r="L4" i="30"/>
  <c r="L192" i="30"/>
  <c r="L194" i="30" s="1"/>
  <c r="L201" i="30" s="1"/>
  <c r="L202" i="30" s="1"/>
  <c r="L187" i="30"/>
  <c r="Q208" i="20"/>
  <c r="Q209" i="20" s="1"/>
  <c r="H145" i="26" s="1"/>
  <c r="Q217" i="20"/>
  <c r="Q218" i="20" s="1"/>
  <c r="J145" i="26" s="1"/>
  <c r="E4" i="34"/>
  <c r="E192" i="34"/>
  <c r="E194" i="34" s="1"/>
  <c r="E187" i="34"/>
  <c r="P192" i="32"/>
  <c r="P194" i="32" s="1"/>
  <c r="P201" i="32" s="1"/>
  <c r="P202" i="32" s="1"/>
  <c r="P4" i="32"/>
  <c r="P187" i="32"/>
  <c r="P208" i="20"/>
  <c r="P209" i="20" s="1"/>
  <c r="H135" i="26" s="1"/>
  <c r="P217" i="20"/>
  <c r="P218" i="20" s="1"/>
  <c r="J135" i="26" s="1"/>
  <c r="M208" i="20"/>
  <c r="M209" i="20" s="1"/>
  <c r="H105" i="26" s="1"/>
  <c r="M217" i="20"/>
  <c r="M218" i="20" s="1"/>
  <c r="J105" i="26" s="1"/>
  <c r="J217" i="20"/>
  <c r="J218" i="20" s="1"/>
  <c r="J75" i="26" s="1"/>
  <c r="J208" i="20"/>
  <c r="J209" i="20" s="1"/>
  <c r="H75" i="26" s="1"/>
  <c r="K192" i="34"/>
  <c r="K194" i="34" s="1"/>
  <c r="K201" i="34" s="1"/>
  <c r="K202" i="34" s="1"/>
  <c r="K4" i="34"/>
  <c r="K187" i="34"/>
  <c r="C192" i="34"/>
  <c r="C194" i="34" s="1"/>
  <c r="C201" i="34" s="1"/>
  <c r="C202" i="34" s="1"/>
  <c r="C4" i="34"/>
  <c r="C187" i="34"/>
  <c r="L4" i="28"/>
  <c r="L192" i="28"/>
  <c r="L194" i="28" s="1"/>
  <c r="L201" i="28" s="1"/>
  <c r="L202" i="28" s="1"/>
  <c r="L187" i="28"/>
  <c r="D192" i="28"/>
  <c r="D194" i="28" s="1"/>
  <c r="D201" i="28" s="1"/>
  <c r="D202" i="28" s="1"/>
  <c r="D4" i="28"/>
  <c r="D187" i="28"/>
  <c r="N4" i="32"/>
  <c r="N192" i="32"/>
  <c r="N194" i="32" s="1"/>
  <c r="N201" i="32" s="1"/>
  <c r="N202" i="32" s="1"/>
  <c r="N187" i="32"/>
  <c r="F4" i="32"/>
  <c r="F192" i="32"/>
  <c r="F194" i="32" s="1"/>
  <c r="F187" i="32"/>
  <c r="P192" i="30"/>
  <c r="P194" i="30" s="1"/>
  <c r="P201" i="30" s="1"/>
  <c r="P202" i="30" s="1"/>
  <c r="P4" i="30"/>
  <c r="P187" i="30"/>
  <c r="H4" i="30"/>
  <c r="H192" i="30"/>
  <c r="H194" i="30" s="1"/>
  <c r="H201" i="30" s="1"/>
  <c r="H202" i="30" s="1"/>
  <c r="H187" i="30"/>
  <c r="K208" i="20"/>
  <c r="K209" i="20" s="1"/>
  <c r="H85" i="26" s="1"/>
  <c r="K217" i="20"/>
  <c r="K218" i="20" s="1"/>
  <c r="J85" i="26" s="1"/>
  <c r="F192" i="30"/>
  <c r="F194" i="30" s="1"/>
  <c r="F4" i="30"/>
  <c r="F187" i="30"/>
  <c r="H192" i="34"/>
  <c r="H194" i="34" s="1"/>
  <c r="H201" i="34" s="1"/>
  <c r="H202" i="34" s="1"/>
  <c r="H4" i="34"/>
  <c r="H187" i="34"/>
  <c r="C192" i="32"/>
  <c r="C194" i="32" s="1"/>
  <c r="C201" i="32" s="1"/>
  <c r="C202" i="32" s="1"/>
  <c r="C4" i="32"/>
  <c r="C187" i="32"/>
  <c r="O192" i="34"/>
  <c r="O194" i="34" s="1"/>
  <c r="O201" i="34" s="1"/>
  <c r="O202" i="34" s="1"/>
  <c r="O4" i="34"/>
  <c r="O187" i="34"/>
  <c r="I208" i="20"/>
  <c r="I209" i="20" s="1"/>
  <c r="H65" i="26" s="1"/>
  <c r="I217" i="20"/>
  <c r="I218" i="20" s="1"/>
  <c r="J65" i="26" s="1"/>
  <c r="C4" i="30"/>
  <c r="C192" i="30"/>
  <c r="C194" i="30" s="1"/>
  <c r="C201" i="30" s="1"/>
  <c r="C202" i="30" s="1"/>
  <c r="C187" i="30"/>
  <c r="N192" i="34"/>
  <c r="N194" i="34" s="1"/>
  <c r="N201" i="34" s="1"/>
  <c r="N202" i="34" s="1"/>
  <c r="N4" i="34"/>
  <c r="N187" i="34"/>
  <c r="N192" i="28"/>
  <c r="N194" i="28" s="1"/>
  <c r="N201" i="28" s="1"/>
  <c r="N202" i="28" s="1"/>
  <c r="N4" i="28"/>
  <c r="N187" i="28"/>
  <c r="H192" i="32"/>
  <c r="H194" i="32" s="1"/>
  <c r="H201" i="32" s="1"/>
  <c r="H202" i="32" s="1"/>
  <c r="H4" i="32"/>
  <c r="H187" i="32"/>
  <c r="L208" i="20"/>
  <c r="L209" i="20" s="1"/>
  <c r="H95" i="26" s="1"/>
  <c r="L217" i="20"/>
  <c r="L218" i="20" s="1"/>
  <c r="J95" i="26" s="1"/>
  <c r="E201" i="20"/>
  <c r="E202" i="20" s="1"/>
  <c r="M116" i="20"/>
  <c r="J4" i="34"/>
  <c r="J192" i="34"/>
  <c r="J194" i="34" s="1"/>
  <c r="J201" i="34" s="1"/>
  <c r="J202" i="34" s="1"/>
  <c r="J187" i="34"/>
  <c r="K4" i="28"/>
  <c r="K192" i="28"/>
  <c r="K194" i="28" s="1"/>
  <c r="K201" i="28" s="1"/>
  <c r="K202" i="28" s="1"/>
  <c r="K187" i="28"/>
  <c r="C192" i="28"/>
  <c r="C194" i="28" s="1"/>
  <c r="C201" i="28" s="1"/>
  <c r="C202" i="28" s="1"/>
  <c r="C4" i="28"/>
  <c r="C187" i="28"/>
  <c r="M192" i="32"/>
  <c r="M194" i="32" s="1"/>
  <c r="M201" i="32" s="1"/>
  <c r="M202" i="32" s="1"/>
  <c r="M4" i="32"/>
  <c r="M187" i="32"/>
  <c r="E192" i="32"/>
  <c r="E194" i="32" s="1"/>
  <c r="E4" i="32"/>
  <c r="E187" i="32"/>
  <c r="F196" i="30"/>
  <c r="E28" i="30"/>
  <c r="E31" i="30" s="1"/>
  <c r="E42" i="30" s="1"/>
  <c r="E200" i="30"/>
  <c r="C218" i="20"/>
  <c r="J5" i="26" s="1"/>
  <c r="C208" i="20"/>
  <c r="O4" i="30"/>
  <c r="O192" i="30"/>
  <c r="O194" i="30" s="1"/>
  <c r="O201" i="30" s="1"/>
  <c r="O202" i="30" s="1"/>
  <c r="O187" i="30"/>
  <c r="G4" i="30"/>
  <c r="G192" i="30"/>
  <c r="G194" i="30" s="1"/>
  <c r="G187" i="30"/>
  <c r="F196" i="34"/>
  <c r="E28" i="34"/>
  <c r="E31" i="34" s="1"/>
  <c r="E42" i="34" s="1"/>
  <c r="E200" i="34"/>
  <c r="N217" i="20"/>
  <c r="N218" i="20" s="1"/>
  <c r="J115" i="26" s="1"/>
  <c r="N208" i="20"/>
  <c r="N209" i="20" s="1"/>
  <c r="H115" i="26" s="1"/>
  <c r="E25" i="20"/>
  <c r="E39" i="20" s="1"/>
  <c r="E41" i="20" s="1"/>
  <c r="E67" i="20" s="1"/>
  <c r="E113" i="20"/>
  <c r="J25" i="20"/>
  <c r="J39" i="20" s="1"/>
  <c r="J41" i="20" s="1"/>
  <c r="J44" i="20" s="1"/>
  <c r="J113" i="20"/>
  <c r="G25" i="20"/>
  <c r="G39" i="20" s="1"/>
  <c r="G41" i="20" s="1"/>
  <c r="G67" i="20" s="1"/>
  <c r="G113" i="20"/>
  <c r="H25" i="20"/>
  <c r="H39" i="20" s="1"/>
  <c r="H41" i="20" s="1"/>
  <c r="H67" i="20" s="1"/>
  <c r="H113" i="20"/>
  <c r="L25" i="20"/>
  <c r="L39" i="20" s="1"/>
  <c r="L41" i="20" s="1"/>
  <c r="L44" i="20" s="1"/>
  <c r="L113" i="20"/>
  <c r="O25" i="20"/>
  <c r="O39" i="20" s="1"/>
  <c r="O41" i="20" s="1"/>
  <c r="O44" i="20" s="1"/>
  <c r="O113" i="20"/>
  <c r="Q25" i="20"/>
  <c r="Q39" i="20" s="1"/>
  <c r="Q41" i="20" s="1"/>
  <c r="Q44" i="20" s="1"/>
  <c r="Q113" i="20"/>
  <c r="D25" i="20"/>
  <c r="D39" i="20" s="1"/>
  <c r="D41" i="20" s="1"/>
  <c r="D44" i="20" s="1"/>
  <c r="D113" i="20"/>
  <c r="C25" i="20"/>
  <c r="C39" i="20" s="1"/>
  <c r="C41" i="20" s="1"/>
  <c r="C113" i="20"/>
  <c r="K25" i="20"/>
  <c r="K39" i="20" s="1"/>
  <c r="K41" i="20" s="1"/>
  <c r="K67" i="20" s="1"/>
  <c r="K113" i="20"/>
  <c r="I25" i="20"/>
  <c r="I39" i="20" s="1"/>
  <c r="I41" i="20" s="1"/>
  <c r="I67" i="20" s="1"/>
  <c r="I113" i="20"/>
  <c r="P25" i="20"/>
  <c r="P39" i="20" s="1"/>
  <c r="P41" i="20" s="1"/>
  <c r="P67" i="20" s="1"/>
  <c r="P113" i="20"/>
  <c r="M25" i="20"/>
  <c r="M39" i="20" s="1"/>
  <c r="M41" i="20" s="1"/>
  <c r="M67" i="20" s="1"/>
  <c r="M113" i="20"/>
  <c r="N25" i="20"/>
  <c r="N39" i="20" s="1"/>
  <c r="N41" i="20" s="1"/>
  <c r="N44" i="20" s="1"/>
  <c r="N113" i="20"/>
  <c r="F25" i="20"/>
  <c r="F39" i="20" s="1"/>
  <c r="F41" i="20" s="1"/>
  <c r="F67" i="20" s="1"/>
  <c r="F113" i="20"/>
  <c r="L115" i="20"/>
  <c r="O115" i="20"/>
  <c r="Q115" i="20"/>
  <c r="L54" i="20"/>
  <c r="P115" i="20"/>
  <c r="M115" i="20"/>
  <c r="N115" i="20"/>
  <c r="C115" i="20"/>
  <c r="K115" i="20"/>
  <c r="I115" i="20"/>
  <c r="D115" i="20"/>
  <c r="E115" i="20"/>
  <c r="F115" i="20"/>
  <c r="J115" i="20"/>
  <c r="G115" i="20"/>
  <c r="H115" i="20"/>
  <c r="P54" i="20" l="1"/>
  <c r="Q54" i="20"/>
  <c r="E201" i="32"/>
  <c r="E202" i="32" s="1"/>
  <c r="E116" i="32" s="1"/>
  <c r="H54" i="20"/>
  <c r="C209" i="20"/>
  <c r="H5" i="26" s="1"/>
  <c r="M54" i="20"/>
  <c r="K54" i="20"/>
  <c r="D57" i="20"/>
  <c r="Q57" i="20"/>
  <c r="D54" i="20"/>
  <c r="E201" i="34"/>
  <c r="E202" i="34" s="1"/>
  <c r="E208" i="34" s="1"/>
  <c r="E209" i="34" s="1"/>
  <c r="E54" i="34" s="1"/>
  <c r="J54" i="20"/>
  <c r="O54" i="20"/>
  <c r="O57" i="20"/>
  <c r="I57" i="20"/>
  <c r="C57" i="20"/>
  <c r="G28" i="20"/>
  <c r="G31" i="20" s="1"/>
  <c r="G42" i="20" s="1"/>
  <c r="G44" i="20" s="1"/>
  <c r="N57" i="20"/>
  <c r="M57" i="20"/>
  <c r="H217" i="32"/>
  <c r="H218" i="32" s="1"/>
  <c r="H57" i="32" s="1"/>
  <c r="H208" i="32"/>
  <c r="H209" i="32" s="1"/>
  <c r="H54" i="32" s="1"/>
  <c r="H116" i="32"/>
  <c r="D208" i="28"/>
  <c r="D209" i="28" s="1"/>
  <c r="D54" i="28" s="1"/>
  <c r="D217" i="28"/>
  <c r="D218" i="28" s="1"/>
  <c r="D57" i="28" s="1"/>
  <c r="D116" i="28"/>
  <c r="P217" i="28"/>
  <c r="P218" i="28" s="1"/>
  <c r="P57" i="28" s="1"/>
  <c r="P208" i="28"/>
  <c r="P209" i="28" s="1"/>
  <c r="P54" i="28" s="1"/>
  <c r="P116" i="28"/>
  <c r="Q217" i="28"/>
  <c r="Q218" i="28" s="1"/>
  <c r="Q57" i="28" s="1"/>
  <c r="Q116" i="28"/>
  <c r="Q208" i="28"/>
  <c r="Q209" i="28" s="1"/>
  <c r="Q54" i="28" s="1"/>
  <c r="I113" i="34"/>
  <c r="I25" i="34"/>
  <c r="I39" i="34" s="1"/>
  <c r="I41" i="34" s="1"/>
  <c r="I189" i="34"/>
  <c r="Q25" i="30"/>
  <c r="Q39" i="30" s="1"/>
  <c r="Q41" i="30" s="1"/>
  <c r="Q113" i="30"/>
  <c r="Q189" i="30"/>
  <c r="O208" i="32"/>
  <c r="O209" i="32" s="1"/>
  <c r="O54" i="32" s="1"/>
  <c r="O116" i="32"/>
  <c r="O217" i="32"/>
  <c r="O218" i="32" s="1"/>
  <c r="O57" i="32" s="1"/>
  <c r="J217" i="30"/>
  <c r="J218" i="30" s="1"/>
  <c r="J57" i="30" s="1"/>
  <c r="J208" i="30"/>
  <c r="J209" i="30" s="1"/>
  <c r="J54" i="30" s="1"/>
  <c r="J116" i="30"/>
  <c r="N113" i="30"/>
  <c r="N25" i="30"/>
  <c r="N39" i="30" s="1"/>
  <c r="N41" i="30" s="1"/>
  <c r="N189" i="30"/>
  <c r="Q217" i="32"/>
  <c r="Q218" i="32" s="1"/>
  <c r="Q57" i="32" s="1"/>
  <c r="Q208" i="32"/>
  <c r="Q209" i="32" s="1"/>
  <c r="Q54" i="32" s="1"/>
  <c r="Q116" i="32"/>
  <c r="F113" i="34"/>
  <c r="F189" i="34"/>
  <c r="F25" i="34"/>
  <c r="F39" i="34" s="1"/>
  <c r="F41" i="34" s="1"/>
  <c r="H116" i="28"/>
  <c r="H217" i="28"/>
  <c r="H218" i="28" s="1"/>
  <c r="H57" i="28" s="1"/>
  <c r="H208" i="28"/>
  <c r="H209" i="28" s="1"/>
  <c r="H54" i="28" s="1"/>
  <c r="J57" i="20"/>
  <c r="C25" i="28"/>
  <c r="C39" i="28" s="1"/>
  <c r="C41" i="28" s="1"/>
  <c r="C189" i="28"/>
  <c r="C113" i="28"/>
  <c r="N189" i="28"/>
  <c r="N25" i="28"/>
  <c r="N39" i="28" s="1"/>
  <c r="N41" i="28" s="1"/>
  <c r="N113" i="28"/>
  <c r="C217" i="32"/>
  <c r="C218" i="32" s="1"/>
  <c r="C57" i="32" s="1"/>
  <c r="C208" i="32"/>
  <c r="C209" i="32" s="1"/>
  <c r="C54" i="32" s="1"/>
  <c r="C116" i="32"/>
  <c r="L25" i="28"/>
  <c r="L39" i="28" s="1"/>
  <c r="L41" i="28" s="1"/>
  <c r="L113" i="28"/>
  <c r="L189" i="28"/>
  <c r="K208" i="34"/>
  <c r="K209" i="34" s="1"/>
  <c r="K54" i="34" s="1"/>
  <c r="K217" i="34"/>
  <c r="K218" i="34" s="1"/>
  <c r="K57" i="34" s="1"/>
  <c r="K116" i="34"/>
  <c r="L217" i="30"/>
  <c r="L218" i="30" s="1"/>
  <c r="L57" i="30" s="1"/>
  <c r="L208" i="30"/>
  <c r="L209" i="30" s="1"/>
  <c r="L54" i="30" s="1"/>
  <c r="L116" i="30"/>
  <c r="M189" i="30"/>
  <c r="M113" i="30"/>
  <c r="M25" i="30"/>
  <c r="M39" i="30" s="1"/>
  <c r="M41" i="30" s="1"/>
  <c r="Q217" i="30"/>
  <c r="Q218" i="30" s="1"/>
  <c r="Q57" i="30" s="1"/>
  <c r="Q116" i="30"/>
  <c r="Q208" i="30"/>
  <c r="Q209" i="30" s="1"/>
  <c r="Q54" i="30" s="1"/>
  <c r="E113" i="28"/>
  <c r="E25" i="28"/>
  <c r="E39" i="28" s="1"/>
  <c r="E41" i="28" s="1"/>
  <c r="E189" i="28"/>
  <c r="D217" i="34"/>
  <c r="D218" i="34" s="1"/>
  <c r="D57" i="34" s="1"/>
  <c r="D208" i="34"/>
  <c r="D209" i="34" s="1"/>
  <c r="D54" i="34" s="1"/>
  <c r="D116" i="34"/>
  <c r="Q189" i="34"/>
  <c r="Q113" i="34"/>
  <c r="Q25" i="34"/>
  <c r="Q39" i="34" s="1"/>
  <c r="Q41" i="34" s="1"/>
  <c r="K116" i="30"/>
  <c r="K217" i="30"/>
  <c r="K218" i="30" s="1"/>
  <c r="K57" i="30" s="1"/>
  <c r="K208" i="30"/>
  <c r="K209" i="30" s="1"/>
  <c r="K54" i="30" s="1"/>
  <c r="G113" i="34"/>
  <c r="G25" i="34"/>
  <c r="G39" i="34" s="1"/>
  <c r="G41" i="34" s="1"/>
  <c r="G189" i="34"/>
  <c r="I217" i="28"/>
  <c r="I218" i="28" s="1"/>
  <c r="I57" i="28" s="1"/>
  <c r="I208" i="28"/>
  <c r="I209" i="28" s="1"/>
  <c r="I54" i="28" s="1"/>
  <c r="I116" i="28"/>
  <c r="I54" i="20"/>
  <c r="N54" i="20"/>
  <c r="F28" i="30"/>
  <c r="F31" i="30" s="1"/>
  <c r="F42" i="30" s="1"/>
  <c r="G196" i="30"/>
  <c r="F200" i="30"/>
  <c r="F201" i="30" s="1"/>
  <c r="F202" i="30" s="1"/>
  <c r="H113" i="34"/>
  <c r="H25" i="34"/>
  <c r="H39" i="34" s="1"/>
  <c r="H41" i="34" s="1"/>
  <c r="H189" i="34"/>
  <c r="H113" i="30"/>
  <c r="H25" i="30"/>
  <c r="H39" i="30" s="1"/>
  <c r="H41" i="30" s="1"/>
  <c r="H189" i="30"/>
  <c r="L217" i="28"/>
  <c r="L218" i="28" s="1"/>
  <c r="L57" i="28" s="1"/>
  <c r="L116" i="28"/>
  <c r="L208" i="28"/>
  <c r="L209" i="28" s="1"/>
  <c r="L54" i="28" s="1"/>
  <c r="P217" i="32"/>
  <c r="P218" i="32" s="1"/>
  <c r="P57" i="32" s="1"/>
  <c r="P208" i="32"/>
  <c r="P209" i="32" s="1"/>
  <c r="P54" i="32" s="1"/>
  <c r="P116" i="32"/>
  <c r="P25" i="34"/>
  <c r="P39" i="34" s="1"/>
  <c r="P41" i="34" s="1"/>
  <c r="P189" i="34"/>
  <c r="P113" i="34"/>
  <c r="I217" i="34"/>
  <c r="I218" i="34" s="1"/>
  <c r="I57" i="34" s="1"/>
  <c r="I208" i="34"/>
  <c r="I209" i="34" s="1"/>
  <c r="I54" i="34" s="1"/>
  <c r="I116" i="34"/>
  <c r="L189" i="34"/>
  <c r="L113" i="34"/>
  <c r="L25" i="34"/>
  <c r="L39" i="34" s="1"/>
  <c r="L41" i="34" s="1"/>
  <c r="F189" i="28"/>
  <c r="F113" i="28"/>
  <c r="F25" i="28"/>
  <c r="F39" i="28" s="1"/>
  <c r="F41" i="28" s="1"/>
  <c r="N217" i="30"/>
  <c r="N218" i="30" s="1"/>
  <c r="N57" i="30" s="1"/>
  <c r="N208" i="30"/>
  <c r="N209" i="30" s="1"/>
  <c r="N54" i="30" s="1"/>
  <c r="N116" i="30"/>
  <c r="G113" i="28"/>
  <c r="G25" i="28"/>
  <c r="G39" i="28" s="1"/>
  <c r="G41" i="28" s="1"/>
  <c r="G189" i="28"/>
  <c r="C208" i="30"/>
  <c r="C209" i="30" s="1"/>
  <c r="C54" i="30" s="1"/>
  <c r="C116" i="30"/>
  <c r="C217" i="30"/>
  <c r="C218" i="30" s="1"/>
  <c r="C57" i="30" s="1"/>
  <c r="F189" i="32"/>
  <c r="F113" i="32"/>
  <c r="F25" i="32"/>
  <c r="F39" i="32" s="1"/>
  <c r="F41" i="32" s="1"/>
  <c r="E113" i="32"/>
  <c r="E25" i="32"/>
  <c r="E39" i="32" s="1"/>
  <c r="E41" i="32" s="1"/>
  <c r="E189" i="32"/>
  <c r="N113" i="32"/>
  <c r="N25" i="32"/>
  <c r="N39" i="32" s="1"/>
  <c r="N41" i="32" s="1"/>
  <c r="N189" i="32"/>
  <c r="M217" i="30"/>
  <c r="M218" i="30" s="1"/>
  <c r="M57" i="30" s="1"/>
  <c r="M208" i="30"/>
  <c r="M209" i="30" s="1"/>
  <c r="M54" i="30" s="1"/>
  <c r="M116" i="30"/>
  <c r="G113" i="32"/>
  <c r="G25" i="32"/>
  <c r="G39" i="32" s="1"/>
  <c r="G41" i="32" s="1"/>
  <c r="G189" i="32"/>
  <c r="J67" i="20"/>
  <c r="H217" i="34"/>
  <c r="H218" i="34" s="1"/>
  <c r="H57" i="34" s="1"/>
  <c r="H208" i="34"/>
  <c r="H209" i="34" s="1"/>
  <c r="H54" i="34" s="1"/>
  <c r="H116" i="34"/>
  <c r="N116" i="32"/>
  <c r="N217" i="32"/>
  <c r="N218" i="32" s="1"/>
  <c r="N57" i="32" s="1"/>
  <c r="N208" i="32"/>
  <c r="N209" i="32" s="1"/>
  <c r="N54" i="32" s="1"/>
  <c r="E217" i="34"/>
  <c r="E218" i="34" s="1"/>
  <c r="E57" i="34" s="1"/>
  <c r="E116" i="34"/>
  <c r="K113" i="32"/>
  <c r="K25" i="32"/>
  <c r="K39" i="32" s="1"/>
  <c r="K41" i="32" s="1"/>
  <c r="K189" i="32"/>
  <c r="P116" i="34"/>
  <c r="P208" i="34"/>
  <c r="P209" i="34" s="1"/>
  <c r="P54" i="34" s="1"/>
  <c r="P217" i="34"/>
  <c r="P218" i="34" s="1"/>
  <c r="P57" i="34" s="1"/>
  <c r="G208" i="20"/>
  <c r="G209" i="20" s="1"/>
  <c r="H45" i="26" s="1"/>
  <c r="G217" i="20"/>
  <c r="G218" i="20" s="1"/>
  <c r="J45" i="26" s="1"/>
  <c r="M113" i="28"/>
  <c r="M25" i="28"/>
  <c r="M39" i="28" s="1"/>
  <c r="M41" i="28" s="1"/>
  <c r="M189" i="28"/>
  <c r="D189" i="30"/>
  <c r="D113" i="30"/>
  <c r="D25" i="30"/>
  <c r="D39" i="30" s="1"/>
  <c r="D41" i="30" s="1"/>
  <c r="I25" i="32"/>
  <c r="I39" i="32" s="1"/>
  <c r="I41" i="32" s="1"/>
  <c r="I189" i="32"/>
  <c r="I113" i="32"/>
  <c r="E113" i="30"/>
  <c r="E189" i="30"/>
  <c r="E25" i="30"/>
  <c r="E39" i="30" s="1"/>
  <c r="E41" i="30" s="1"/>
  <c r="G196" i="32"/>
  <c r="F28" i="32"/>
  <c r="F31" i="32" s="1"/>
  <c r="F42" i="32" s="1"/>
  <c r="F200" i="32"/>
  <c r="F201" i="32" s="1"/>
  <c r="F202" i="32" s="1"/>
  <c r="K57" i="20"/>
  <c r="E208" i="32"/>
  <c r="E209" i="32" s="1"/>
  <c r="E54" i="32" s="1"/>
  <c r="K208" i="28"/>
  <c r="K209" i="28" s="1"/>
  <c r="K54" i="28" s="1"/>
  <c r="K217" i="28"/>
  <c r="K218" i="28" s="1"/>
  <c r="K57" i="28" s="1"/>
  <c r="K116" i="28"/>
  <c r="F25" i="30"/>
  <c r="F39" i="30" s="1"/>
  <c r="F41" i="30" s="1"/>
  <c r="F189" i="30"/>
  <c r="F113" i="30"/>
  <c r="P189" i="30"/>
  <c r="P113" i="30"/>
  <c r="P25" i="30"/>
  <c r="P39" i="30" s="1"/>
  <c r="P41" i="30" s="1"/>
  <c r="J217" i="32"/>
  <c r="J218" i="32" s="1"/>
  <c r="J57" i="32" s="1"/>
  <c r="J208" i="32"/>
  <c r="J209" i="32" s="1"/>
  <c r="J54" i="32" s="1"/>
  <c r="J116" i="32"/>
  <c r="K116" i="32"/>
  <c r="K217" i="32"/>
  <c r="K218" i="32" s="1"/>
  <c r="K57" i="32" s="1"/>
  <c r="K208" i="32"/>
  <c r="K209" i="32" s="1"/>
  <c r="K54" i="32" s="1"/>
  <c r="L113" i="32"/>
  <c r="L25" i="32"/>
  <c r="L39" i="32" s="1"/>
  <c r="L41" i="32" s="1"/>
  <c r="L189" i="32"/>
  <c r="I113" i="30"/>
  <c r="I25" i="30"/>
  <c r="I39" i="30" s="1"/>
  <c r="I41" i="30" s="1"/>
  <c r="I189" i="30"/>
  <c r="M25" i="34"/>
  <c r="M39" i="34" s="1"/>
  <c r="M41" i="34" s="1"/>
  <c r="M113" i="34"/>
  <c r="M189" i="34"/>
  <c r="D208" i="32"/>
  <c r="D209" i="32" s="1"/>
  <c r="D54" i="32" s="1"/>
  <c r="D116" i="32"/>
  <c r="D217" i="32"/>
  <c r="D218" i="32" s="1"/>
  <c r="D57" i="32" s="1"/>
  <c r="D217" i="30"/>
  <c r="D218" i="30" s="1"/>
  <c r="D57" i="30" s="1"/>
  <c r="D208" i="30"/>
  <c r="D209" i="30" s="1"/>
  <c r="D54" i="30" s="1"/>
  <c r="D116" i="30"/>
  <c r="O189" i="28"/>
  <c r="O113" i="28"/>
  <c r="O25" i="28"/>
  <c r="O39" i="28" s="1"/>
  <c r="O41" i="28" s="1"/>
  <c r="G196" i="28"/>
  <c r="F28" i="28"/>
  <c r="F31" i="28" s="1"/>
  <c r="F42" i="28" s="1"/>
  <c r="F200" i="28"/>
  <c r="F201" i="28" s="1"/>
  <c r="F202" i="28" s="1"/>
  <c r="G113" i="30"/>
  <c r="G25" i="30"/>
  <c r="G39" i="30" s="1"/>
  <c r="G41" i="30" s="1"/>
  <c r="G189" i="30"/>
  <c r="J217" i="34"/>
  <c r="J218" i="34" s="1"/>
  <c r="J57" i="34" s="1"/>
  <c r="J208" i="34"/>
  <c r="J209" i="34" s="1"/>
  <c r="J54" i="34" s="1"/>
  <c r="J116" i="34"/>
  <c r="P25" i="32"/>
  <c r="P39" i="32" s="1"/>
  <c r="P41" i="32" s="1"/>
  <c r="P113" i="32"/>
  <c r="P189" i="32"/>
  <c r="O189" i="30"/>
  <c r="O113" i="30"/>
  <c r="O25" i="30"/>
  <c r="O39" i="30" s="1"/>
  <c r="O41" i="30" s="1"/>
  <c r="E208" i="20"/>
  <c r="E209" i="20" s="1"/>
  <c r="H25" i="26" s="1"/>
  <c r="E217" i="20"/>
  <c r="E218" i="20" s="1"/>
  <c r="J25" i="26" s="1"/>
  <c r="F217" i="20"/>
  <c r="F218" i="20" s="1"/>
  <c r="J35" i="26" s="1"/>
  <c r="F208" i="20"/>
  <c r="F209" i="20" s="1"/>
  <c r="H35" i="26" s="1"/>
  <c r="L217" i="34"/>
  <c r="L218" i="34" s="1"/>
  <c r="L57" i="34" s="1"/>
  <c r="L208" i="34"/>
  <c r="L209" i="34" s="1"/>
  <c r="L54" i="34" s="1"/>
  <c r="L116" i="34"/>
  <c r="D113" i="32"/>
  <c r="D189" i="32"/>
  <c r="D25" i="32"/>
  <c r="D39" i="32" s="1"/>
  <c r="D41" i="32" s="1"/>
  <c r="E116" i="20"/>
  <c r="O208" i="30"/>
  <c r="O209" i="30" s="1"/>
  <c r="O54" i="30" s="1"/>
  <c r="O116" i="30"/>
  <c r="O217" i="30"/>
  <c r="O218" i="30" s="1"/>
  <c r="O57" i="30" s="1"/>
  <c r="K113" i="28"/>
  <c r="K25" i="28"/>
  <c r="K39" i="28" s="1"/>
  <c r="K41" i="28" s="1"/>
  <c r="K189" i="28"/>
  <c r="N25" i="34"/>
  <c r="N39" i="34" s="1"/>
  <c r="N41" i="34" s="1"/>
  <c r="N189" i="34"/>
  <c r="N113" i="34"/>
  <c r="O113" i="34"/>
  <c r="O25" i="34"/>
  <c r="O39" i="34" s="1"/>
  <c r="O41" i="34" s="1"/>
  <c r="O189" i="34"/>
  <c r="C189" i="34"/>
  <c r="C113" i="34"/>
  <c r="C25" i="34"/>
  <c r="C39" i="34" s="1"/>
  <c r="C41" i="34" s="1"/>
  <c r="M113" i="32"/>
  <c r="M25" i="32"/>
  <c r="M39" i="32" s="1"/>
  <c r="M41" i="32" s="1"/>
  <c r="M189" i="32"/>
  <c r="N116" i="34"/>
  <c r="N217" i="34"/>
  <c r="N218" i="34" s="1"/>
  <c r="N57" i="34" s="1"/>
  <c r="N208" i="34"/>
  <c r="N209" i="34" s="1"/>
  <c r="N54" i="34" s="1"/>
  <c r="C116" i="34"/>
  <c r="C208" i="34"/>
  <c r="C209" i="34" s="1"/>
  <c r="C54" i="34" s="1"/>
  <c r="C217" i="34"/>
  <c r="C218" i="34" s="1"/>
  <c r="C57" i="34" s="1"/>
  <c r="P189" i="28"/>
  <c r="P25" i="28"/>
  <c r="P39" i="28" s="1"/>
  <c r="P41" i="28" s="1"/>
  <c r="P113" i="28"/>
  <c r="O189" i="32"/>
  <c r="O113" i="32"/>
  <c r="O25" i="32"/>
  <c r="O39" i="32" s="1"/>
  <c r="O41" i="32" s="1"/>
  <c r="M217" i="28"/>
  <c r="M218" i="28" s="1"/>
  <c r="M57" i="28" s="1"/>
  <c r="M208" i="28"/>
  <c r="M209" i="28" s="1"/>
  <c r="M54" i="28" s="1"/>
  <c r="M116" i="28"/>
  <c r="M116" i="34"/>
  <c r="M217" i="34"/>
  <c r="M218" i="34" s="1"/>
  <c r="M57" i="34" s="1"/>
  <c r="M208" i="34"/>
  <c r="M209" i="34" s="1"/>
  <c r="M54" i="34" s="1"/>
  <c r="J113" i="28"/>
  <c r="J25" i="28"/>
  <c r="J39" i="28" s="1"/>
  <c r="J41" i="28" s="1"/>
  <c r="J189" i="28"/>
  <c r="I116" i="32"/>
  <c r="I217" i="32"/>
  <c r="I218" i="32" s="1"/>
  <c r="I57" i="32" s="1"/>
  <c r="I208" i="32"/>
  <c r="I209" i="32" s="1"/>
  <c r="I54" i="32" s="1"/>
  <c r="O208" i="28"/>
  <c r="O209" i="28" s="1"/>
  <c r="O54" i="28" s="1"/>
  <c r="O217" i="28"/>
  <c r="O218" i="28" s="1"/>
  <c r="O57" i="28" s="1"/>
  <c r="O116" i="28"/>
  <c r="H113" i="28"/>
  <c r="H25" i="28"/>
  <c r="H39" i="28" s="1"/>
  <c r="H41" i="28" s="1"/>
  <c r="H189" i="28"/>
  <c r="E201" i="30"/>
  <c r="E202" i="30" s="1"/>
  <c r="M208" i="32"/>
  <c r="M209" i="32" s="1"/>
  <c r="M54" i="32" s="1"/>
  <c r="M217" i="32"/>
  <c r="M218" i="32" s="1"/>
  <c r="M57" i="32" s="1"/>
  <c r="M116" i="32"/>
  <c r="L113" i="30"/>
  <c r="L25" i="30"/>
  <c r="L39" i="30" s="1"/>
  <c r="L41" i="30" s="1"/>
  <c r="L189" i="30"/>
  <c r="C116" i="28"/>
  <c r="C217" i="28"/>
  <c r="C218" i="28" s="1"/>
  <c r="C57" i="28" s="1"/>
  <c r="C208" i="28"/>
  <c r="C209" i="28" s="1"/>
  <c r="C54" i="28" s="1"/>
  <c r="N217" i="28"/>
  <c r="N218" i="28" s="1"/>
  <c r="N57" i="28" s="1"/>
  <c r="N208" i="28"/>
  <c r="N209" i="28" s="1"/>
  <c r="N54" i="28" s="1"/>
  <c r="N116" i="28"/>
  <c r="H217" i="30"/>
  <c r="H218" i="30" s="1"/>
  <c r="H57" i="30" s="1"/>
  <c r="H208" i="30"/>
  <c r="H209" i="30" s="1"/>
  <c r="H54" i="30" s="1"/>
  <c r="H116" i="30"/>
  <c r="E113" i="34"/>
  <c r="E189" i="34"/>
  <c r="E25" i="34"/>
  <c r="E39" i="34" s="1"/>
  <c r="E41" i="34" s="1"/>
  <c r="J113" i="32"/>
  <c r="J25" i="32"/>
  <c r="J39" i="32" s="1"/>
  <c r="J41" i="32" s="1"/>
  <c r="J189" i="32"/>
  <c r="E208" i="28"/>
  <c r="E209" i="28" s="1"/>
  <c r="E54" i="28" s="1"/>
  <c r="E116" i="28"/>
  <c r="E217" i="28"/>
  <c r="E218" i="28" s="1"/>
  <c r="E57" i="28" s="1"/>
  <c r="Q217" i="34"/>
  <c r="Q218" i="34" s="1"/>
  <c r="Q57" i="34" s="1"/>
  <c r="Q208" i="34"/>
  <c r="Q209" i="34" s="1"/>
  <c r="Q54" i="34" s="1"/>
  <c r="Q116" i="34"/>
  <c r="H113" i="32"/>
  <c r="H25" i="32"/>
  <c r="H39" i="32" s="1"/>
  <c r="H41" i="32" s="1"/>
  <c r="H189" i="32"/>
  <c r="O208" i="34"/>
  <c r="O209" i="34" s="1"/>
  <c r="O54" i="34" s="1"/>
  <c r="O217" i="34"/>
  <c r="O218" i="34" s="1"/>
  <c r="O57" i="34" s="1"/>
  <c r="O116" i="34"/>
  <c r="D113" i="28"/>
  <c r="D25" i="28"/>
  <c r="D39" i="28" s="1"/>
  <c r="D41" i="28" s="1"/>
  <c r="D189" i="28"/>
  <c r="C54" i="20"/>
  <c r="H57" i="20"/>
  <c r="P57" i="20"/>
  <c r="L57" i="20"/>
  <c r="F28" i="34"/>
  <c r="F31" i="34" s="1"/>
  <c r="F42" i="34" s="1"/>
  <c r="G196" i="34"/>
  <c r="F200" i="34"/>
  <c r="F201" i="34" s="1"/>
  <c r="F202" i="34" s="1"/>
  <c r="J113" i="34"/>
  <c r="J25" i="34"/>
  <c r="J39" i="34" s="1"/>
  <c r="J41" i="34" s="1"/>
  <c r="J189" i="34"/>
  <c r="C189" i="30"/>
  <c r="C113" i="30"/>
  <c r="C25" i="30"/>
  <c r="C39" i="30" s="1"/>
  <c r="C41" i="30" s="1"/>
  <c r="C25" i="32"/>
  <c r="C39" i="32" s="1"/>
  <c r="C41" i="32" s="1"/>
  <c r="C113" i="32"/>
  <c r="C189" i="32"/>
  <c r="P217" i="30"/>
  <c r="P218" i="30" s="1"/>
  <c r="P57" i="30" s="1"/>
  <c r="P116" i="30"/>
  <c r="P208" i="30"/>
  <c r="P209" i="30" s="1"/>
  <c r="P54" i="30" s="1"/>
  <c r="K113" i="34"/>
  <c r="K25" i="34"/>
  <c r="K39" i="34" s="1"/>
  <c r="K41" i="34" s="1"/>
  <c r="K189" i="34"/>
  <c r="Q189" i="28"/>
  <c r="Q113" i="28"/>
  <c r="Q25" i="28"/>
  <c r="Q39" i="28" s="1"/>
  <c r="Q41" i="28" s="1"/>
  <c r="L116" i="32"/>
  <c r="L217" i="32"/>
  <c r="L218" i="32" s="1"/>
  <c r="L57" i="32" s="1"/>
  <c r="L208" i="32"/>
  <c r="L209" i="32" s="1"/>
  <c r="L54" i="32" s="1"/>
  <c r="I217" i="30"/>
  <c r="I218" i="30" s="1"/>
  <c r="I57" i="30" s="1"/>
  <c r="I116" i="30"/>
  <c r="I208" i="30"/>
  <c r="I209" i="30" s="1"/>
  <c r="I54" i="30" s="1"/>
  <c r="D25" i="34"/>
  <c r="D39" i="34" s="1"/>
  <c r="D41" i="34" s="1"/>
  <c r="D189" i="34"/>
  <c r="D113" i="34"/>
  <c r="J25" i="30"/>
  <c r="J39" i="30" s="1"/>
  <c r="J41" i="30" s="1"/>
  <c r="J113" i="30"/>
  <c r="J189" i="30"/>
  <c r="J208" i="28"/>
  <c r="J209" i="28" s="1"/>
  <c r="J54" i="28" s="1"/>
  <c r="J217" i="28"/>
  <c r="J218" i="28" s="1"/>
  <c r="J57" i="28" s="1"/>
  <c r="J116" i="28"/>
  <c r="K25" i="30"/>
  <c r="K39" i="30" s="1"/>
  <c r="K41" i="30" s="1"/>
  <c r="K113" i="30"/>
  <c r="K189" i="30"/>
  <c r="Q25" i="32"/>
  <c r="Q39" i="32" s="1"/>
  <c r="Q41" i="32" s="1"/>
  <c r="Q113" i="32"/>
  <c r="Q189" i="32"/>
  <c r="I189" i="28"/>
  <c r="I113" i="28"/>
  <c r="I25" i="28"/>
  <c r="I39" i="28" s="1"/>
  <c r="I41" i="28" s="1"/>
  <c r="E44" i="20"/>
  <c r="M44" i="20"/>
  <c r="I44" i="20"/>
  <c r="Q67" i="20"/>
  <c r="L67" i="20"/>
  <c r="K44" i="20"/>
  <c r="H44" i="20"/>
  <c r="F44" i="20"/>
  <c r="P44" i="20"/>
  <c r="N67" i="20"/>
  <c r="D67" i="20"/>
  <c r="O67" i="20"/>
  <c r="J108" i="26"/>
  <c r="J110" i="26"/>
  <c r="J109" i="26"/>
  <c r="J107" i="26"/>
  <c r="H130" i="26"/>
  <c r="H128" i="26"/>
  <c r="H127" i="26"/>
  <c r="H129" i="26"/>
  <c r="H118" i="26"/>
  <c r="H117" i="26"/>
  <c r="H119" i="26"/>
  <c r="H120" i="26"/>
  <c r="J148" i="26"/>
  <c r="J150" i="26"/>
  <c r="J147" i="26"/>
  <c r="J149" i="26"/>
  <c r="J118" i="26"/>
  <c r="J120" i="26"/>
  <c r="J119" i="26"/>
  <c r="J117" i="26"/>
  <c r="H138" i="26"/>
  <c r="H137" i="26"/>
  <c r="H140" i="26"/>
  <c r="H139" i="26"/>
  <c r="J129" i="26"/>
  <c r="J128" i="26"/>
  <c r="J130" i="26"/>
  <c r="J127" i="26"/>
  <c r="H100" i="26"/>
  <c r="H97" i="26"/>
  <c r="H99" i="26"/>
  <c r="H98" i="26"/>
  <c r="J137" i="26"/>
  <c r="J138" i="26"/>
  <c r="J139" i="26"/>
  <c r="J140" i="26"/>
  <c r="H110" i="26"/>
  <c r="H107" i="26"/>
  <c r="H108" i="26"/>
  <c r="H109" i="26"/>
  <c r="J98" i="26"/>
  <c r="J100" i="26"/>
  <c r="J99" i="26"/>
  <c r="J97" i="26"/>
  <c r="H149" i="26"/>
  <c r="H150" i="26"/>
  <c r="H148" i="26"/>
  <c r="H147" i="26"/>
  <c r="J90" i="26"/>
  <c r="J88" i="26"/>
  <c r="J89" i="26"/>
  <c r="J87" i="26"/>
  <c r="J58" i="26"/>
  <c r="J60" i="26"/>
  <c r="J59" i="26"/>
  <c r="J57" i="26"/>
  <c r="J79" i="26"/>
  <c r="J80" i="26"/>
  <c r="J78" i="26"/>
  <c r="J77" i="26"/>
  <c r="H88" i="26"/>
  <c r="H89" i="26"/>
  <c r="H90" i="26"/>
  <c r="H87" i="26"/>
  <c r="H70" i="26"/>
  <c r="H68" i="26"/>
  <c r="H69" i="26"/>
  <c r="H67" i="26"/>
  <c r="J69" i="26"/>
  <c r="J70" i="26"/>
  <c r="J68" i="26"/>
  <c r="J67" i="26"/>
  <c r="J9" i="26"/>
  <c r="J10" i="26"/>
  <c r="J8" i="26"/>
  <c r="J7" i="26"/>
  <c r="H60" i="26"/>
  <c r="H59" i="26"/>
  <c r="H58" i="26"/>
  <c r="H57" i="26"/>
  <c r="H80" i="26"/>
  <c r="H79" i="26"/>
  <c r="H78" i="26"/>
  <c r="H77" i="26"/>
  <c r="C44" i="20"/>
  <c r="C67" i="20"/>
  <c r="F116" i="20"/>
  <c r="E217" i="32" l="1"/>
  <c r="E218" i="32" s="1"/>
  <c r="E57" i="32" s="1"/>
  <c r="H9" i="26"/>
  <c r="H7" i="26"/>
  <c r="H8" i="26"/>
  <c r="H10" i="26"/>
  <c r="F217" i="28"/>
  <c r="F218" i="28" s="1"/>
  <c r="F57" i="28" s="1"/>
  <c r="F116" i="28"/>
  <c r="F208" i="28"/>
  <c r="F209" i="28" s="1"/>
  <c r="F54" i="28" s="1"/>
  <c r="Q67" i="34"/>
  <c r="Q44" i="34"/>
  <c r="C190" i="28"/>
  <c r="C115" i="28"/>
  <c r="Q67" i="30"/>
  <c r="Q44" i="30"/>
  <c r="Q115" i="32"/>
  <c r="Q190" i="32"/>
  <c r="K190" i="34"/>
  <c r="K115" i="34"/>
  <c r="D67" i="28"/>
  <c r="D44" i="28"/>
  <c r="O115" i="32"/>
  <c r="O190" i="32"/>
  <c r="O190" i="34"/>
  <c r="O115" i="34"/>
  <c r="G190" i="30"/>
  <c r="G115" i="30"/>
  <c r="O190" i="28"/>
  <c r="O115" i="28"/>
  <c r="P115" i="30"/>
  <c r="P190" i="30"/>
  <c r="M115" i="28"/>
  <c r="M190" i="28"/>
  <c r="G67" i="32"/>
  <c r="E190" i="32"/>
  <c r="E115" i="32"/>
  <c r="C67" i="28"/>
  <c r="C44" i="28"/>
  <c r="I190" i="34"/>
  <c r="I115" i="34"/>
  <c r="J115" i="30"/>
  <c r="J190" i="30"/>
  <c r="K67" i="34"/>
  <c r="K44" i="34"/>
  <c r="C67" i="32"/>
  <c r="C44" i="32"/>
  <c r="G28" i="34"/>
  <c r="G31" i="34" s="1"/>
  <c r="G42" i="34" s="1"/>
  <c r="G44" i="34" s="1"/>
  <c r="G200" i="34"/>
  <c r="G201" i="34" s="1"/>
  <c r="G202" i="34" s="1"/>
  <c r="E67" i="34"/>
  <c r="E44" i="34"/>
  <c r="O67" i="34"/>
  <c r="O44" i="34"/>
  <c r="O190" i="30"/>
  <c r="O115" i="30"/>
  <c r="G67" i="30"/>
  <c r="M67" i="34"/>
  <c r="M44" i="34"/>
  <c r="M67" i="28"/>
  <c r="M44" i="28"/>
  <c r="K190" i="32"/>
  <c r="K115" i="32"/>
  <c r="E44" i="32"/>
  <c r="E67" i="32"/>
  <c r="F67" i="28"/>
  <c r="F44" i="28"/>
  <c r="G190" i="34"/>
  <c r="G115" i="34"/>
  <c r="Q190" i="34"/>
  <c r="Q115" i="34"/>
  <c r="I44" i="34"/>
  <c r="I67" i="34"/>
  <c r="Q190" i="28"/>
  <c r="Q115" i="28"/>
  <c r="D115" i="28"/>
  <c r="D190" i="28"/>
  <c r="K67" i="28"/>
  <c r="K44" i="28"/>
  <c r="M190" i="34"/>
  <c r="M115" i="34"/>
  <c r="G190" i="32"/>
  <c r="G115" i="32"/>
  <c r="H67" i="34"/>
  <c r="H44" i="34"/>
  <c r="F115" i="34"/>
  <c r="F190" i="34"/>
  <c r="C67" i="30"/>
  <c r="C44" i="30"/>
  <c r="F190" i="30"/>
  <c r="F115" i="30"/>
  <c r="K44" i="32"/>
  <c r="K67" i="32"/>
  <c r="G67" i="34"/>
  <c r="K190" i="30"/>
  <c r="K115" i="30"/>
  <c r="F67" i="32"/>
  <c r="F44" i="32"/>
  <c r="G190" i="28"/>
  <c r="G115" i="28"/>
  <c r="H115" i="30"/>
  <c r="H190" i="30"/>
  <c r="M44" i="30"/>
  <c r="M67" i="30"/>
  <c r="C190" i="30"/>
  <c r="C115" i="30"/>
  <c r="H115" i="28"/>
  <c r="H190" i="28"/>
  <c r="N190" i="34"/>
  <c r="N115" i="34"/>
  <c r="P67" i="32"/>
  <c r="P44" i="32"/>
  <c r="I67" i="32"/>
  <c r="I44" i="32"/>
  <c r="G67" i="28"/>
  <c r="L44" i="34"/>
  <c r="L67" i="34"/>
  <c r="P67" i="34"/>
  <c r="P44" i="34"/>
  <c r="H44" i="30"/>
  <c r="H67" i="30"/>
  <c r="L190" i="28"/>
  <c r="L115" i="28"/>
  <c r="N67" i="28"/>
  <c r="N44" i="28"/>
  <c r="N190" i="30"/>
  <c r="N115" i="30"/>
  <c r="I190" i="28"/>
  <c r="I115" i="28"/>
  <c r="C115" i="32"/>
  <c r="C190" i="32"/>
  <c r="J67" i="32"/>
  <c r="J44" i="32"/>
  <c r="C190" i="34"/>
  <c r="C115" i="34"/>
  <c r="D115" i="30"/>
  <c r="D190" i="30"/>
  <c r="F116" i="32"/>
  <c r="F217" i="32"/>
  <c r="F218" i="32" s="1"/>
  <c r="F57" i="32" s="1"/>
  <c r="F208" i="32"/>
  <c r="F209" i="32" s="1"/>
  <c r="F54" i="32" s="1"/>
  <c r="P67" i="28"/>
  <c r="P44" i="28"/>
  <c r="P115" i="32"/>
  <c r="P190" i="32"/>
  <c r="I190" i="30"/>
  <c r="I115" i="30"/>
  <c r="F217" i="34"/>
  <c r="F218" i="34" s="1"/>
  <c r="F57" i="34" s="1"/>
  <c r="F116" i="34"/>
  <c r="F208" i="34"/>
  <c r="F209" i="34" s="1"/>
  <c r="F54" i="34" s="1"/>
  <c r="G28" i="30"/>
  <c r="G31" i="30" s="1"/>
  <c r="G42" i="30" s="1"/>
  <c r="G44" i="30" s="1"/>
  <c r="G200" i="30"/>
  <c r="G201" i="30" s="1"/>
  <c r="G202" i="30" s="1"/>
  <c r="E116" i="30"/>
  <c r="E217" i="30"/>
  <c r="E218" i="30" s="1"/>
  <c r="E57" i="30" s="1"/>
  <c r="E208" i="30"/>
  <c r="E209" i="30" s="1"/>
  <c r="E54" i="30" s="1"/>
  <c r="P190" i="28"/>
  <c r="P115" i="28"/>
  <c r="I67" i="30"/>
  <c r="I44" i="30"/>
  <c r="I190" i="32"/>
  <c r="I115" i="32"/>
  <c r="F190" i="28"/>
  <c r="F115" i="28"/>
  <c r="I67" i="28"/>
  <c r="I44" i="28"/>
  <c r="D115" i="34"/>
  <c r="D190" i="34"/>
  <c r="Q67" i="28"/>
  <c r="Q44" i="28"/>
  <c r="H44" i="28"/>
  <c r="H67" i="28"/>
  <c r="J190" i="28"/>
  <c r="J115" i="28"/>
  <c r="N67" i="34"/>
  <c r="N44" i="34"/>
  <c r="D67" i="32"/>
  <c r="D44" i="32"/>
  <c r="G28" i="28"/>
  <c r="G31" i="28" s="1"/>
  <c r="G42" i="28" s="1"/>
  <c r="G44" i="28" s="1"/>
  <c r="G200" i="28"/>
  <c r="G201" i="28" s="1"/>
  <c r="G202" i="28" s="1"/>
  <c r="L115" i="32"/>
  <c r="L190" i="32"/>
  <c r="G28" i="32"/>
  <c r="G31" i="32" s="1"/>
  <c r="G42" i="32" s="1"/>
  <c r="G44" i="32" s="1"/>
  <c r="G200" i="32"/>
  <c r="G201" i="32" s="1"/>
  <c r="G202" i="32" s="1"/>
  <c r="D44" i="30"/>
  <c r="D67" i="30"/>
  <c r="N115" i="32"/>
  <c r="N190" i="32"/>
  <c r="F115" i="32"/>
  <c r="F190" i="32"/>
  <c r="E190" i="28"/>
  <c r="E115" i="28"/>
  <c r="M190" i="30"/>
  <c r="M115" i="30"/>
  <c r="N115" i="28"/>
  <c r="N190" i="28"/>
  <c r="N44" i="30"/>
  <c r="N67" i="30"/>
  <c r="Q115" i="30"/>
  <c r="Q190" i="30"/>
  <c r="O67" i="30"/>
  <c r="O44" i="30"/>
  <c r="E115" i="30"/>
  <c r="E190" i="30"/>
  <c r="Q67" i="32"/>
  <c r="Q44" i="32"/>
  <c r="E190" i="34"/>
  <c r="E115" i="34"/>
  <c r="M190" i="32"/>
  <c r="M115" i="32"/>
  <c r="J67" i="30"/>
  <c r="J44" i="30"/>
  <c r="M67" i="32"/>
  <c r="M44" i="32"/>
  <c r="F44" i="30"/>
  <c r="F67" i="30"/>
  <c r="P190" i="34"/>
  <c r="P115" i="34"/>
  <c r="K67" i="30"/>
  <c r="K44" i="30"/>
  <c r="J190" i="34"/>
  <c r="J115" i="34"/>
  <c r="H115" i="32"/>
  <c r="H190" i="32"/>
  <c r="L115" i="30"/>
  <c r="L190" i="30"/>
  <c r="C67" i="34"/>
  <c r="C44" i="34"/>
  <c r="D44" i="34"/>
  <c r="D67" i="34"/>
  <c r="F208" i="30"/>
  <c r="F209" i="30" s="1"/>
  <c r="F54" i="30" s="1"/>
  <c r="F116" i="30"/>
  <c r="F217" i="30"/>
  <c r="F218" i="30" s="1"/>
  <c r="F57" i="30" s="1"/>
  <c r="J67" i="34"/>
  <c r="J44" i="34"/>
  <c r="H67" i="32"/>
  <c r="H44" i="32"/>
  <c r="J190" i="32"/>
  <c r="J115" i="32"/>
  <c r="L67" i="30"/>
  <c r="L44" i="30"/>
  <c r="J67" i="28"/>
  <c r="J44" i="28"/>
  <c r="O67" i="32"/>
  <c r="O44" i="32"/>
  <c r="K115" i="28"/>
  <c r="K190" i="28"/>
  <c r="D190" i="32"/>
  <c r="D115" i="32"/>
  <c r="O67" i="28"/>
  <c r="O44" i="28"/>
  <c r="L67" i="32"/>
  <c r="L44" i="32"/>
  <c r="P67" i="30"/>
  <c r="P44" i="30"/>
  <c r="E67" i="30"/>
  <c r="E44" i="30"/>
  <c r="N44" i="32"/>
  <c r="N67" i="32"/>
  <c r="L190" i="34"/>
  <c r="L115" i="34"/>
  <c r="H190" i="34"/>
  <c r="H115" i="34"/>
  <c r="E44" i="28"/>
  <c r="E67" i="28"/>
  <c r="L67" i="28"/>
  <c r="L44" i="28"/>
  <c r="F67" i="34"/>
  <c r="F44" i="34"/>
  <c r="J18" i="26"/>
  <c r="J19" i="26"/>
  <c r="J20" i="26"/>
  <c r="J17" i="26"/>
  <c r="H17" i="26"/>
  <c r="H19" i="26"/>
  <c r="H18" i="26"/>
  <c r="H20" i="26"/>
  <c r="E57" i="20"/>
  <c r="E54" i="20"/>
  <c r="J123" i="26"/>
  <c r="N219" i="34" s="1"/>
  <c r="J113" i="26"/>
  <c r="M219" i="34" s="1"/>
  <c r="H153" i="26"/>
  <c r="Q210" i="34" s="1"/>
  <c r="H123" i="26"/>
  <c r="N210" i="34" s="1"/>
  <c r="H103" i="26"/>
  <c r="L210" i="34" s="1"/>
  <c r="J133" i="26"/>
  <c r="O219" i="34" s="1"/>
  <c r="J153" i="26"/>
  <c r="Q219" i="34" s="1"/>
  <c r="J103" i="26"/>
  <c r="L219" i="34" s="1"/>
  <c r="H113" i="26"/>
  <c r="M210" i="34" s="1"/>
  <c r="J143" i="26"/>
  <c r="P219" i="34" s="1"/>
  <c r="H143" i="26"/>
  <c r="P210" i="34" s="1"/>
  <c r="H133" i="26"/>
  <c r="O210" i="34" s="1"/>
  <c r="J63" i="26"/>
  <c r="H219" i="34" s="1"/>
  <c r="H63" i="26"/>
  <c r="H210" i="34" s="1"/>
  <c r="G116" i="20"/>
  <c r="H93" i="26"/>
  <c r="K210" i="34" s="1"/>
  <c r="H83" i="26"/>
  <c r="J210" i="34" s="1"/>
  <c r="J73" i="26"/>
  <c r="I219" i="34" s="1"/>
  <c r="H73" i="26"/>
  <c r="I210" i="34" s="1"/>
  <c r="J93" i="26"/>
  <c r="K219" i="34" s="1"/>
  <c r="J12" i="26"/>
  <c r="C219" i="34" s="1"/>
  <c r="J83" i="26"/>
  <c r="J219" i="34" s="1"/>
  <c r="H12" i="26" l="1"/>
  <c r="C210" i="34" s="1"/>
  <c r="G116" i="28"/>
  <c r="G217" i="28"/>
  <c r="G218" i="28" s="1"/>
  <c r="G57" i="28" s="1"/>
  <c r="G208" i="28"/>
  <c r="G209" i="28" s="1"/>
  <c r="G54" i="28" s="1"/>
  <c r="G217" i="30"/>
  <c r="G218" i="30" s="1"/>
  <c r="G57" i="30" s="1"/>
  <c r="G208" i="30"/>
  <c r="G209" i="30" s="1"/>
  <c r="G54" i="30" s="1"/>
  <c r="G116" i="30"/>
  <c r="G208" i="34"/>
  <c r="G209" i="34" s="1"/>
  <c r="G54" i="34" s="1"/>
  <c r="G217" i="34"/>
  <c r="G218" i="34" s="1"/>
  <c r="G57" i="34" s="1"/>
  <c r="G116" i="34"/>
  <c r="G208" i="32"/>
  <c r="G209" i="32" s="1"/>
  <c r="G54" i="32" s="1"/>
  <c r="G217" i="32"/>
  <c r="G218" i="32" s="1"/>
  <c r="G57" i="32" s="1"/>
  <c r="G116" i="32"/>
  <c r="H58" i="34"/>
  <c r="H220" i="34"/>
  <c r="K58" i="34"/>
  <c r="K220" i="34"/>
  <c r="O211" i="34"/>
  <c r="O55" i="34"/>
  <c r="C211" i="34"/>
  <c r="C55" i="34"/>
  <c r="I58" i="34"/>
  <c r="I220" i="34"/>
  <c r="H211" i="34"/>
  <c r="H55" i="34"/>
  <c r="P58" i="34"/>
  <c r="P220" i="34"/>
  <c r="O58" i="34"/>
  <c r="O220" i="34"/>
  <c r="M58" i="34"/>
  <c r="M220" i="34"/>
  <c r="C58" i="34"/>
  <c r="C220" i="34"/>
  <c r="J55" i="34"/>
  <c r="J211" i="34"/>
  <c r="M55" i="34"/>
  <c r="M211" i="34"/>
  <c r="L55" i="34"/>
  <c r="L211" i="34"/>
  <c r="N220" i="34"/>
  <c r="N58" i="34"/>
  <c r="K211" i="34"/>
  <c r="K55" i="34"/>
  <c r="L58" i="34"/>
  <c r="L220" i="34"/>
  <c r="N55" i="34"/>
  <c r="N211" i="34"/>
  <c r="J58" i="34"/>
  <c r="J220" i="34"/>
  <c r="I55" i="34"/>
  <c r="I211" i="34"/>
  <c r="P55" i="34"/>
  <c r="P211" i="34"/>
  <c r="Q58" i="34"/>
  <c r="Q220" i="34"/>
  <c r="Q55" i="34"/>
  <c r="Q211" i="34"/>
  <c r="K210" i="30"/>
  <c r="K211" i="30" s="1"/>
  <c r="K210" i="32"/>
  <c r="L219" i="30"/>
  <c r="L58" i="30" s="1"/>
  <c r="L219" i="32"/>
  <c r="C210" i="30"/>
  <c r="C55" i="30" s="1"/>
  <c r="C210" i="32"/>
  <c r="I219" i="30"/>
  <c r="I220" i="30" s="1"/>
  <c r="I219" i="32"/>
  <c r="H210" i="30"/>
  <c r="H211" i="30" s="1"/>
  <c r="H210" i="32"/>
  <c r="P219" i="30"/>
  <c r="P58" i="30" s="1"/>
  <c r="P219" i="32"/>
  <c r="O219" i="30"/>
  <c r="O58" i="30" s="1"/>
  <c r="O219" i="32"/>
  <c r="M219" i="30"/>
  <c r="M58" i="30" s="1"/>
  <c r="M219" i="32"/>
  <c r="C219" i="30"/>
  <c r="C58" i="30" s="1"/>
  <c r="C219" i="32"/>
  <c r="J210" i="30"/>
  <c r="J211" i="30" s="1"/>
  <c r="J210" i="32"/>
  <c r="H219" i="30"/>
  <c r="H58" i="30" s="1"/>
  <c r="H219" i="32"/>
  <c r="M210" i="30"/>
  <c r="M55" i="30" s="1"/>
  <c r="M210" i="32"/>
  <c r="L210" i="30"/>
  <c r="L55" i="30" s="1"/>
  <c r="L210" i="32"/>
  <c r="N219" i="30"/>
  <c r="N58" i="30" s="1"/>
  <c r="N219" i="32"/>
  <c r="K219" i="30"/>
  <c r="K58" i="30" s="1"/>
  <c r="K219" i="32"/>
  <c r="O210" i="30"/>
  <c r="O211" i="30" s="1"/>
  <c r="O210" i="32"/>
  <c r="N210" i="30"/>
  <c r="N55" i="30" s="1"/>
  <c r="N210" i="32"/>
  <c r="J219" i="30"/>
  <c r="J220" i="30" s="1"/>
  <c r="J219" i="32"/>
  <c r="I210" i="30"/>
  <c r="I55" i="30" s="1"/>
  <c r="I210" i="32"/>
  <c r="P210" i="30"/>
  <c r="P55" i="30" s="1"/>
  <c r="P210" i="32"/>
  <c r="Q219" i="30"/>
  <c r="Q58" i="30" s="1"/>
  <c r="Q219" i="32"/>
  <c r="Q210" i="30"/>
  <c r="Q55" i="30" s="1"/>
  <c r="Q210" i="32"/>
  <c r="H220" i="30"/>
  <c r="L219" i="20"/>
  <c r="L220" i="20" s="1"/>
  <c r="L221" i="20" s="1"/>
  <c r="L219" i="28"/>
  <c r="K210" i="20"/>
  <c r="K211" i="20" s="1"/>
  <c r="K212" i="20" s="1"/>
  <c r="K210" i="28"/>
  <c r="J219" i="20"/>
  <c r="J220" i="20" s="1"/>
  <c r="J221" i="20" s="1"/>
  <c r="J219" i="28"/>
  <c r="C210" i="20"/>
  <c r="C211" i="20" s="1"/>
  <c r="C210" i="28"/>
  <c r="I219" i="20"/>
  <c r="I220" i="20" s="1"/>
  <c r="I221" i="20" s="1"/>
  <c r="I219" i="28"/>
  <c r="H210" i="20"/>
  <c r="H211" i="20" s="1"/>
  <c r="H212" i="20" s="1"/>
  <c r="H210" i="28"/>
  <c r="P219" i="20"/>
  <c r="P220" i="20" s="1"/>
  <c r="P221" i="20" s="1"/>
  <c r="P219" i="28"/>
  <c r="O219" i="20"/>
  <c r="O220" i="20" s="1"/>
  <c r="O221" i="20" s="1"/>
  <c r="O219" i="28"/>
  <c r="M219" i="20"/>
  <c r="M220" i="20" s="1"/>
  <c r="M221" i="20" s="1"/>
  <c r="M219" i="28"/>
  <c r="C219" i="20"/>
  <c r="C220" i="20" s="1"/>
  <c r="C221" i="20" s="1"/>
  <c r="C219" i="28"/>
  <c r="J210" i="20"/>
  <c r="J211" i="20" s="1"/>
  <c r="J212" i="20" s="1"/>
  <c r="J210" i="28"/>
  <c r="H219" i="20"/>
  <c r="H220" i="20" s="1"/>
  <c r="H221" i="20" s="1"/>
  <c r="H219" i="28"/>
  <c r="M210" i="20"/>
  <c r="M211" i="20" s="1"/>
  <c r="M212" i="20" s="1"/>
  <c r="M210" i="28"/>
  <c r="L210" i="20"/>
  <c r="L211" i="20" s="1"/>
  <c r="L212" i="20" s="1"/>
  <c r="L210" i="28"/>
  <c r="N219" i="20"/>
  <c r="N220" i="20" s="1"/>
  <c r="N221" i="20" s="1"/>
  <c r="N219" i="28"/>
  <c r="K219" i="20"/>
  <c r="K220" i="20" s="1"/>
  <c r="K221" i="20" s="1"/>
  <c r="K219" i="28"/>
  <c r="O210" i="20"/>
  <c r="O211" i="20" s="1"/>
  <c r="O212" i="20" s="1"/>
  <c r="O210" i="28"/>
  <c r="N210" i="20"/>
  <c r="N211" i="20" s="1"/>
  <c r="N117" i="20" s="1"/>
  <c r="N210" i="28"/>
  <c r="I210" i="20"/>
  <c r="I211" i="20" s="1"/>
  <c r="I224" i="20" s="1"/>
  <c r="I225" i="20" s="1"/>
  <c r="I210" i="28"/>
  <c r="P210" i="20"/>
  <c r="P211" i="20" s="1"/>
  <c r="P117" i="20" s="1"/>
  <c r="P210" i="28"/>
  <c r="Q219" i="20"/>
  <c r="Q220" i="20" s="1"/>
  <c r="Q221" i="20" s="1"/>
  <c r="Q219" i="28"/>
  <c r="Q210" i="20"/>
  <c r="Q211" i="20" s="1"/>
  <c r="Q212" i="20" s="1"/>
  <c r="Q210" i="28"/>
  <c r="J23" i="26"/>
  <c r="D219" i="34" s="1"/>
  <c r="H23" i="26"/>
  <c r="D210" i="34" s="1"/>
  <c r="J30" i="26"/>
  <c r="J29" i="26"/>
  <c r="J28" i="26"/>
  <c r="J27" i="26"/>
  <c r="H29" i="26"/>
  <c r="H27" i="26"/>
  <c r="H30" i="26"/>
  <c r="H28" i="26"/>
  <c r="F57" i="20"/>
  <c r="F54" i="20"/>
  <c r="N211" i="30" l="1"/>
  <c r="K55" i="30"/>
  <c r="Q220" i="30"/>
  <c r="N220" i="30"/>
  <c r="N221" i="30" s="1"/>
  <c r="K117" i="20"/>
  <c r="L117" i="20"/>
  <c r="L220" i="30"/>
  <c r="L221" i="30" s="1"/>
  <c r="M220" i="30"/>
  <c r="M118" i="30" s="1"/>
  <c r="H118" i="20"/>
  <c r="J55" i="30"/>
  <c r="J56" i="30" s="1"/>
  <c r="P211" i="30"/>
  <c r="P220" i="30"/>
  <c r="P118" i="30" s="1"/>
  <c r="I58" i="30"/>
  <c r="I63" i="30" s="1"/>
  <c r="Q211" i="30"/>
  <c r="Q212" i="30" s="1"/>
  <c r="J117" i="20"/>
  <c r="Q224" i="20"/>
  <c r="Q225" i="20" s="1"/>
  <c r="L224" i="20"/>
  <c r="L225" i="20" s="1"/>
  <c r="J58" i="30"/>
  <c r="J63" i="30" s="1"/>
  <c r="L211" i="30"/>
  <c r="L117" i="30" s="1"/>
  <c r="C220" i="30"/>
  <c r="C118" i="30" s="1"/>
  <c r="H55" i="30"/>
  <c r="H62" i="30" s="1"/>
  <c r="Q118" i="20"/>
  <c r="J224" i="20"/>
  <c r="J225" i="20" s="1"/>
  <c r="C224" i="20"/>
  <c r="C225" i="20" s="1"/>
  <c r="K220" i="30"/>
  <c r="K221" i="30" s="1"/>
  <c r="I117" i="20"/>
  <c r="C212" i="20"/>
  <c r="C211" i="30"/>
  <c r="C212" i="30" s="1"/>
  <c r="H224" i="20"/>
  <c r="H225" i="20" s="1"/>
  <c r="I211" i="30"/>
  <c r="I117" i="30" s="1"/>
  <c r="O55" i="30"/>
  <c r="O62" i="30" s="1"/>
  <c r="M211" i="30"/>
  <c r="M224" i="30" s="1"/>
  <c r="O220" i="30"/>
  <c r="O221" i="30" s="1"/>
  <c r="O118" i="20"/>
  <c r="P212" i="20"/>
  <c r="N58" i="20"/>
  <c r="N63" i="20" s="1"/>
  <c r="K224" i="20"/>
  <c r="K225" i="20" s="1"/>
  <c r="I212" i="20"/>
  <c r="C117" i="20"/>
  <c r="H117" i="20"/>
  <c r="O117" i="20"/>
  <c r="H58" i="20"/>
  <c r="H59" i="20" s="1"/>
  <c r="N212" i="20"/>
  <c r="J118" i="20"/>
  <c r="M58" i="20"/>
  <c r="M59" i="20" s="1"/>
  <c r="D58" i="34"/>
  <c r="D220" i="34"/>
  <c r="Q212" i="34"/>
  <c r="Q117" i="34"/>
  <c r="Q224" i="34"/>
  <c r="P212" i="34"/>
  <c r="P117" i="34"/>
  <c r="P224" i="34"/>
  <c r="J221" i="34"/>
  <c r="J118" i="34"/>
  <c r="L221" i="34"/>
  <c r="L118" i="34"/>
  <c r="N63" i="34"/>
  <c r="N59" i="34"/>
  <c r="M212" i="34"/>
  <c r="M117" i="34"/>
  <c r="M224" i="34"/>
  <c r="C221" i="34"/>
  <c r="C118" i="34"/>
  <c r="O118" i="34"/>
  <c r="O221" i="34"/>
  <c r="H62" i="34"/>
  <c r="H56" i="34"/>
  <c r="C62" i="34"/>
  <c r="C56" i="34"/>
  <c r="K221" i="34"/>
  <c r="K118" i="34"/>
  <c r="M117" i="20"/>
  <c r="D55" i="34"/>
  <c r="D211" i="34"/>
  <c r="P224" i="20"/>
  <c r="P225" i="20" s="1"/>
  <c r="Q62" i="34"/>
  <c r="Q56" i="34"/>
  <c r="P62" i="34"/>
  <c r="P56" i="34"/>
  <c r="J63" i="34"/>
  <c r="J59" i="34"/>
  <c r="L63" i="34"/>
  <c r="L59" i="34"/>
  <c r="N221" i="34"/>
  <c r="N118" i="34"/>
  <c r="M62" i="34"/>
  <c r="M56" i="34"/>
  <c r="C63" i="34"/>
  <c r="C59" i="34"/>
  <c r="O63" i="34"/>
  <c r="O59" i="34"/>
  <c r="H212" i="34"/>
  <c r="H117" i="34"/>
  <c r="H224" i="34"/>
  <c r="C212" i="34"/>
  <c r="C117" i="34"/>
  <c r="C224" i="34"/>
  <c r="K63" i="34"/>
  <c r="K59" i="34"/>
  <c r="Q221" i="34"/>
  <c r="Q118" i="34"/>
  <c r="I212" i="34"/>
  <c r="I117" i="34"/>
  <c r="I224" i="34"/>
  <c r="N212" i="34"/>
  <c r="N117" i="34"/>
  <c r="N224" i="34"/>
  <c r="K62" i="34"/>
  <c r="K56" i="34"/>
  <c r="L212" i="34"/>
  <c r="L117" i="34"/>
  <c r="L224" i="34"/>
  <c r="J212" i="34"/>
  <c r="J117" i="34"/>
  <c r="J224" i="34"/>
  <c r="M221" i="34"/>
  <c r="M118" i="34"/>
  <c r="P221" i="34"/>
  <c r="P118" i="34"/>
  <c r="I221" i="34"/>
  <c r="I118" i="34"/>
  <c r="O62" i="34"/>
  <c r="O64" i="34" s="1"/>
  <c r="O68" i="34" s="1"/>
  <c r="O56" i="34"/>
  <c r="O60" i="34" s="1"/>
  <c r="H221" i="34"/>
  <c r="H118" i="34"/>
  <c r="Q63" i="34"/>
  <c r="Q59" i="34"/>
  <c r="I62" i="34"/>
  <c r="I56" i="34"/>
  <c r="N62" i="34"/>
  <c r="N56" i="34"/>
  <c r="K212" i="34"/>
  <c r="K117" i="34"/>
  <c r="K224" i="34"/>
  <c r="L62" i="34"/>
  <c r="L56" i="34"/>
  <c r="J62" i="34"/>
  <c r="J56" i="34"/>
  <c r="M63" i="34"/>
  <c r="M59" i="34"/>
  <c r="P63" i="34"/>
  <c r="P59" i="34"/>
  <c r="I63" i="34"/>
  <c r="I59" i="34"/>
  <c r="O117" i="34"/>
  <c r="O212" i="34"/>
  <c r="O224" i="34"/>
  <c r="H63" i="34"/>
  <c r="H59" i="34"/>
  <c r="Q55" i="32"/>
  <c r="Q211" i="32"/>
  <c r="P55" i="32"/>
  <c r="P211" i="32"/>
  <c r="J220" i="32"/>
  <c r="J58" i="32"/>
  <c r="O55" i="32"/>
  <c r="O211" i="32"/>
  <c r="N58" i="32"/>
  <c r="N220" i="32"/>
  <c r="M55" i="32"/>
  <c r="M211" i="32"/>
  <c r="J211" i="32"/>
  <c r="J55" i="32"/>
  <c r="M58" i="32"/>
  <c r="M220" i="32"/>
  <c r="P58" i="32"/>
  <c r="P220" i="32"/>
  <c r="I58" i="32"/>
  <c r="I220" i="32"/>
  <c r="L58" i="32"/>
  <c r="L220" i="32"/>
  <c r="D210" i="30"/>
  <c r="D211" i="30" s="1"/>
  <c r="D210" i="32"/>
  <c r="D219" i="30"/>
  <c r="D220" i="30" s="1"/>
  <c r="D219" i="32"/>
  <c r="Q58" i="32"/>
  <c r="Q220" i="32"/>
  <c r="I55" i="32"/>
  <c r="I211" i="32"/>
  <c r="N211" i="32"/>
  <c r="N55" i="32"/>
  <c r="K58" i="32"/>
  <c r="K220" i="32"/>
  <c r="L55" i="32"/>
  <c r="L211" i="32"/>
  <c r="H220" i="32"/>
  <c r="H58" i="32"/>
  <c r="C58" i="32"/>
  <c r="C220" i="32"/>
  <c r="O58" i="32"/>
  <c r="O220" i="32"/>
  <c r="H211" i="32"/>
  <c r="H55" i="32"/>
  <c r="C211" i="32"/>
  <c r="C55" i="32"/>
  <c r="K55" i="32"/>
  <c r="K211" i="32"/>
  <c r="P117" i="30"/>
  <c r="L118" i="30"/>
  <c r="K62" i="30"/>
  <c r="K56" i="30"/>
  <c r="H221" i="30"/>
  <c r="H118" i="30"/>
  <c r="H56" i="30"/>
  <c r="Q62" i="30"/>
  <c r="Q56" i="30"/>
  <c r="P62" i="30"/>
  <c r="P56" i="30"/>
  <c r="J221" i="30"/>
  <c r="J118" i="30"/>
  <c r="L63" i="30"/>
  <c r="L59" i="30"/>
  <c r="K212" i="30"/>
  <c r="K117" i="30"/>
  <c r="C62" i="30"/>
  <c r="C56" i="30"/>
  <c r="L62" i="30"/>
  <c r="L56" i="30"/>
  <c r="H63" i="30"/>
  <c r="H59" i="30"/>
  <c r="C63" i="30"/>
  <c r="C59" i="30"/>
  <c r="O63" i="30"/>
  <c r="O59" i="30"/>
  <c r="H212" i="30"/>
  <c r="H117" i="30"/>
  <c r="H224" i="30"/>
  <c r="Q221" i="30"/>
  <c r="Q118" i="30"/>
  <c r="N62" i="30"/>
  <c r="N56" i="30"/>
  <c r="J212" i="30"/>
  <c r="J117" i="30"/>
  <c r="J224" i="30"/>
  <c r="I221" i="30"/>
  <c r="I118" i="30"/>
  <c r="Q63" i="30"/>
  <c r="Q59" i="30"/>
  <c r="I62" i="30"/>
  <c r="I56" i="30"/>
  <c r="N212" i="30"/>
  <c r="N117" i="30"/>
  <c r="N224" i="30"/>
  <c r="O117" i="30"/>
  <c r="O212" i="30"/>
  <c r="K63" i="30"/>
  <c r="K59" i="30"/>
  <c r="N63" i="30"/>
  <c r="N59" i="30"/>
  <c r="M62" i="30"/>
  <c r="M56" i="30"/>
  <c r="M63" i="30"/>
  <c r="M59" i="30"/>
  <c r="P63" i="30"/>
  <c r="P59" i="30"/>
  <c r="I59" i="30"/>
  <c r="Q58" i="28"/>
  <c r="Q220" i="28"/>
  <c r="O55" i="28"/>
  <c r="O211" i="28"/>
  <c r="J55" i="28"/>
  <c r="J211" i="28"/>
  <c r="P58" i="28"/>
  <c r="P220" i="28"/>
  <c r="L58" i="28"/>
  <c r="L220" i="28"/>
  <c r="D210" i="20"/>
  <c r="D211" i="20" s="1"/>
  <c r="D212" i="20" s="1"/>
  <c r="D210" i="28"/>
  <c r="N224" i="20"/>
  <c r="N225" i="20" s="1"/>
  <c r="M224" i="20"/>
  <c r="M225" i="20" s="1"/>
  <c r="O224" i="20"/>
  <c r="O225" i="20" s="1"/>
  <c r="Q55" i="28"/>
  <c r="Q211" i="28"/>
  <c r="P55" i="28"/>
  <c r="P211" i="28"/>
  <c r="N55" i="28"/>
  <c r="N211" i="28"/>
  <c r="K58" i="28"/>
  <c r="K220" i="28"/>
  <c r="L55" i="28"/>
  <c r="L211" i="28"/>
  <c r="H58" i="28"/>
  <c r="H220" i="28"/>
  <c r="C58" i="28"/>
  <c r="C220" i="28"/>
  <c r="O58" i="28"/>
  <c r="O220" i="28"/>
  <c r="H55" i="28"/>
  <c r="H211" i="28"/>
  <c r="C55" i="28"/>
  <c r="C211" i="28"/>
  <c r="K55" i="28"/>
  <c r="K211" i="28"/>
  <c r="N58" i="28"/>
  <c r="N220" i="28"/>
  <c r="M55" i="28"/>
  <c r="M211" i="28"/>
  <c r="M58" i="28"/>
  <c r="M220" i="28"/>
  <c r="J220" i="28"/>
  <c r="J58" i="28"/>
  <c r="D219" i="20"/>
  <c r="D220" i="20" s="1"/>
  <c r="D221" i="20" s="1"/>
  <c r="D219" i="28"/>
  <c r="I55" i="28"/>
  <c r="I211" i="28"/>
  <c r="I58" i="28"/>
  <c r="I220" i="28"/>
  <c r="K118" i="20"/>
  <c r="L118" i="20"/>
  <c r="K58" i="20"/>
  <c r="L58" i="20"/>
  <c r="M55" i="20"/>
  <c r="C58" i="20"/>
  <c r="P58" i="20"/>
  <c r="I58" i="20"/>
  <c r="Q55" i="20"/>
  <c r="I55" i="20"/>
  <c r="O55" i="20"/>
  <c r="I118" i="20"/>
  <c r="P118" i="20"/>
  <c r="C118" i="20"/>
  <c r="Q58" i="20"/>
  <c r="N55" i="20"/>
  <c r="L55" i="20"/>
  <c r="J55" i="20"/>
  <c r="O58" i="20"/>
  <c r="H55" i="20"/>
  <c r="C55" i="20"/>
  <c r="P55" i="20"/>
  <c r="J58" i="20"/>
  <c r="K55" i="20"/>
  <c r="H33" i="26"/>
  <c r="E210" i="34" s="1"/>
  <c r="J33" i="26"/>
  <c r="E219" i="34" s="1"/>
  <c r="H40" i="26"/>
  <c r="H38" i="26"/>
  <c r="H39" i="26"/>
  <c r="H37" i="26"/>
  <c r="J39" i="26"/>
  <c r="J40" i="26"/>
  <c r="J38" i="26"/>
  <c r="J37" i="26"/>
  <c r="G54" i="20"/>
  <c r="G57" i="20"/>
  <c r="Q117" i="20"/>
  <c r="M118" i="20"/>
  <c r="N118" i="20"/>
  <c r="H50" i="26"/>
  <c r="H48" i="26"/>
  <c r="H49" i="26"/>
  <c r="H47" i="26"/>
  <c r="J50" i="26"/>
  <c r="J49" i="26"/>
  <c r="J48" i="26"/>
  <c r="J47" i="26"/>
  <c r="M221" i="30" l="1"/>
  <c r="N118" i="30"/>
  <c r="Q119" i="20"/>
  <c r="Q122" i="20" s="1"/>
  <c r="J62" i="30"/>
  <c r="J64" i="30" s="1"/>
  <c r="J68" i="30" s="1"/>
  <c r="P224" i="30"/>
  <c r="Q128" i="30" s="1"/>
  <c r="Q224" i="30"/>
  <c r="Q225" i="30" s="1"/>
  <c r="Q117" i="30"/>
  <c r="H63" i="20"/>
  <c r="I224" i="30"/>
  <c r="I119" i="30" s="1"/>
  <c r="I122" i="30" s="1"/>
  <c r="J59" i="30"/>
  <c r="L212" i="30"/>
  <c r="P212" i="30"/>
  <c r="P221" i="30"/>
  <c r="N59" i="20"/>
  <c r="M117" i="30"/>
  <c r="C221" i="30"/>
  <c r="C117" i="30"/>
  <c r="L224" i="30"/>
  <c r="L225" i="30" s="1"/>
  <c r="K118" i="30"/>
  <c r="K224" i="30"/>
  <c r="K119" i="30" s="1"/>
  <c r="K122" i="30" s="1"/>
  <c r="M63" i="20"/>
  <c r="O118" i="30"/>
  <c r="O224" i="30"/>
  <c r="O119" i="30" s="1"/>
  <c r="O122" i="30" s="1"/>
  <c r="K60" i="34"/>
  <c r="I212" i="30"/>
  <c r="J60" i="34"/>
  <c r="N64" i="34"/>
  <c r="N68" i="34" s="1"/>
  <c r="N74" i="34" s="1"/>
  <c r="M64" i="34"/>
  <c r="M68" i="34" s="1"/>
  <c r="M74" i="34" s="1"/>
  <c r="P64" i="34"/>
  <c r="P68" i="34" s="1"/>
  <c r="P74" i="34" s="1"/>
  <c r="C224" i="30"/>
  <c r="C119" i="30" s="1"/>
  <c r="M212" i="30"/>
  <c r="O56" i="30"/>
  <c r="O60" i="30" s="1"/>
  <c r="D55" i="30"/>
  <c r="D62" i="30" s="1"/>
  <c r="L60" i="34"/>
  <c r="I64" i="34"/>
  <c r="I68" i="34" s="1"/>
  <c r="I74" i="34" s="1"/>
  <c r="D58" i="30"/>
  <c r="D63" i="30" s="1"/>
  <c r="Q60" i="34"/>
  <c r="E55" i="34"/>
  <c r="E211" i="34"/>
  <c r="L225" i="34"/>
  <c r="M128" i="34"/>
  <c r="M127" i="34"/>
  <c r="L119" i="34"/>
  <c r="L122" i="34" s="1"/>
  <c r="K64" i="34"/>
  <c r="K68" i="34" s="1"/>
  <c r="I225" i="34"/>
  <c r="J128" i="34"/>
  <c r="I119" i="34"/>
  <c r="I122" i="34" s="1"/>
  <c r="J127" i="34"/>
  <c r="Q64" i="34"/>
  <c r="Q68" i="34" s="1"/>
  <c r="C64" i="34"/>
  <c r="C68" i="34" s="1"/>
  <c r="P225" i="34"/>
  <c r="Q128" i="34"/>
  <c r="P119" i="34"/>
  <c r="P122" i="34" s="1"/>
  <c r="O64" i="30"/>
  <c r="O68" i="30" s="1"/>
  <c r="O70" i="30" s="1"/>
  <c r="L64" i="30"/>
  <c r="L68" i="30" s="1"/>
  <c r="L74" i="30" s="1"/>
  <c r="Q60" i="30"/>
  <c r="H60" i="30"/>
  <c r="O225" i="34"/>
  <c r="P128" i="34"/>
  <c r="O119" i="34"/>
  <c r="O122" i="34" s="1"/>
  <c r="L64" i="34"/>
  <c r="L68" i="34" s="1"/>
  <c r="N60" i="34"/>
  <c r="J225" i="34"/>
  <c r="K128" i="34"/>
  <c r="J119" i="34"/>
  <c r="J122" i="34" s="1"/>
  <c r="K127" i="34"/>
  <c r="N225" i="34"/>
  <c r="N119" i="34"/>
  <c r="N122" i="34" s="1"/>
  <c r="O128" i="34"/>
  <c r="M60" i="34"/>
  <c r="P60" i="34"/>
  <c r="H60" i="34"/>
  <c r="K225" i="34"/>
  <c r="L127" i="34"/>
  <c r="L128" i="34"/>
  <c r="K119" i="34"/>
  <c r="K122" i="34" s="1"/>
  <c r="O74" i="34"/>
  <c r="O70" i="34"/>
  <c r="H225" i="34"/>
  <c r="I128" i="34"/>
  <c r="I127" i="34"/>
  <c r="H119" i="34"/>
  <c r="H122" i="34" s="1"/>
  <c r="D212" i="34"/>
  <c r="D117" i="34"/>
  <c r="D224" i="34"/>
  <c r="H64" i="34"/>
  <c r="H68" i="34" s="1"/>
  <c r="D221" i="34"/>
  <c r="D118" i="34"/>
  <c r="E58" i="34"/>
  <c r="E220" i="34"/>
  <c r="K60" i="30"/>
  <c r="J64" i="34"/>
  <c r="J68" i="34" s="1"/>
  <c r="I60" i="34"/>
  <c r="C225" i="34"/>
  <c r="C119" i="34"/>
  <c r="D128" i="34"/>
  <c r="D127" i="34"/>
  <c r="D62" i="34"/>
  <c r="D56" i="34"/>
  <c r="C60" i="34"/>
  <c r="M225" i="34"/>
  <c r="N128" i="34"/>
  <c r="M119" i="34"/>
  <c r="M122" i="34" s="1"/>
  <c r="Q225" i="34"/>
  <c r="Q119" i="34"/>
  <c r="Q122" i="34" s="1"/>
  <c r="D63" i="34"/>
  <c r="D59" i="34"/>
  <c r="E219" i="30"/>
  <c r="E58" i="30" s="1"/>
  <c r="E219" i="32"/>
  <c r="K212" i="32"/>
  <c r="K117" i="32"/>
  <c r="K224" i="32"/>
  <c r="H62" i="32"/>
  <c r="H56" i="32"/>
  <c r="C221" i="32"/>
  <c r="C118" i="32"/>
  <c r="L212" i="32"/>
  <c r="L117" i="32"/>
  <c r="L224" i="32"/>
  <c r="N62" i="32"/>
  <c r="N56" i="32"/>
  <c r="Q221" i="32"/>
  <c r="Q118" i="32"/>
  <c r="D55" i="32"/>
  <c r="D211" i="32"/>
  <c r="I221" i="32"/>
  <c r="I118" i="32"/>
  <c r="M221" i="32"/>
  <c r="M118" i="32"/>
  <c r="M212" i="32"/>
  <c r="M117" i="32"/>
  <c r="M224" i="32"/>
  <c r="O212" i="32"/>
  <c r="O117" i="32"/>
  <c r="O224" i="32"/>
  <c r="P212" i="32"/>
  <c r="P117" i="32"/>
  <c r="P224" i="32"/>
  <c r="E210" i="30"/>
  <c r="E55" i="30" s="1"/>
  <c r="E210" i="32"/>
  <c r="K62" i="32"/>
  <c r="K56" i="32"/>
  <c r="H212" i="32"/>
  <c r="H117" i="32"/>
  <c r="H224" i="32"/>
  <c r="C63" i="32"/>
  <c r="C59" i="32"/>
  <c r="L62" i="32"/>
  <c r="L56" i="32"/>
  <c r="N212" i="32"/>
  <c r="N117" i="32"/>
  <c r="N224" i="32"/>
  <c r="Q63" i="32"/>
  <c r="Q59" i="32"/>
  <c r="I63" i="32"/>
  <c r="I59" i="32"/>
  <c r="M63" i="32"/>
  <c r="M59" i="32"/>
  <c r="M62" i="32"/>
  <c r="M56" i="32"/>
  <c r="O62" i="32"/>
  <c r="O56" i="32"/>
  <c r="P62" i="32"/>
  <c r="P56" i="32"/>
  <c r="C62" i="32"/>
  <c r="C56" i="32"/>
  <c r="O221" i="32"/>
  <c r="O118" i="32"/>
  <c r="H63" i="32"/>
  <c r="H59" i="32"/>
  <c r="K221" i="32"/>
  <c r="K118" i="32"/>
  <c r="I212" i="32"/>
  <c r="I117" i="32"/>
  <c r="I224" i="32"/>
  <c r="D58" i="32"/>
  <c r="D220" i="32"/>
  <c r="L221" i="32"/>
  <c r="L118" i="32"/>
  <c r="P221" i="32"/>
  <c r="P118" i="32"/>
  <c r="J62" i="32"/>
  <c r="J56" i="32"/>
  <c r="N221" i="32"/>
  <c r="N118" i="32"/>
  <c r="J63" i="32"/>
  <c r="J59" i="32"/>
  <c r="Q212" i="32"/>
  <c r="Q117" i="32"/>
  <c r="Q224" i="32"/>
  <c r="Q64" i="30"/>
  <c r="Q68" i="30" s="1"/>
  <c r="Q74" i="30" s="1"/>
  <c r="H64" i="30"/>
  <c r="H68" i="30" s="1"/>
  <c r="H74" i="30" s="1"/>
  <c r="C117" i="32"/>
  <c r="C212" i="32"/>
  <c r="C224" i="32"/>
  <c r="O63" i="32"/>
  <c r="O59" i="32"/>
  <c r="H221" i="32"/>
  <c r="H118" i="32"/>
  <c r="K63" i="32"/>
  <c r="K59" i="32"/>
  <c r="I62" i="32"/>
  <c r="I56" i="32"/>
  <c r="L63" i="32"/>
  <c r="L59" i="32"/>
  <c r="P63" i="32"/>
  <c r="P59" i="32"/>
  <c r="J212" i="32"/>
  <c r="J117" i="32"/>
  <c r="J224" i="32"/>
  <c r="N63" i="32"/>
  <c r="N59" i="32"/>
  <c r="J221" i="32"/>
  <c r="J118" i="32"/>
  <c r="Q62" i="32"/>
  <c r="Q56" i="32"/>
  <c r="J60" i="30"/>
  <c r="C60" i="30"/>
  <c r="M64" i="30"/>
  <c r="M68" i="30" s="1"/>
  <c r="N225" i="30"/>
  <c r="O128" i="30"/>
  <c r="N119" i="30"/>
  <c r="N122" i="30" s="1"/>
  <c r="I64" i="30"/>
  <c r="I68" i="30" s="1"/>
  <c r="M225" i="30"/>
  <c r="M119" i="30"/>
  <c r="M122" i="30" s="1"/>
  <c r="N128" i="30"/>
  <c r="D221" i="30"/>
  <c r="D118" i="30"/>
  <c r="L119" i="30"/>
  <c r="L122" i="30" s="1"/>
  <c r="J225" i="30"/>
  <c r="K127" i="30"/>
  <c r="K128" i="30"/>
  <c r="J119" i="30"/>
  <c r="J122" i="30" s="1"/>
  <c r="N60" i="30"/>
  <c r="N64" i="30"/>
  <c r="N68" i="30" s="1"/>
  <c r="H225" i="30"/>
  <c r="I128" i="30"/>
  <c r="I127" i="30"/>
  <c r="H119" i="30"/>
  <c r="H122" i="30" s="1"/>
  <c r="C64" i="30"/>
  <c r="C68" i="30" s="1"/>
  <c r="P60" i="30"/>
  <c r="D212" i="30"/>
  <c r="D117" i="30"/>
  <c r="D224" i="30"/>
  <c r="M60" i="30"/>
  <c r="I60" i="30"/>
  <c r="L60" i="30"/>
  <c r="P64" i="30"/>
  <c r="P68" i="30" s="1"/>
  <c r="K64" i="30"/>
  <c r="K68" i="30" s="1"/>
  <c r="I63" i="28"/>
  <c r="I59" i="28"/>
  <c r="M63" i="28"/>
  <c r="M59" i="28"/>
  <c r="C62" i="28"/>
  <c r="C56" i="28"/>
  <c r="O63" i="28"/>
  <c r="O59" i="28"/>
  <c r="K63" i="28"/>
  <c r="K59" i="28"/>
  <c r="L221" i="28"/>
  <c r="L118" i="28"/>
  <c r="J212" i="28"/>
  <c r="J117" i="28"/>
  <c r="J224" i="28"/>
  <c r="Q221" i="28"/>
  <c r="Q118" i="28"/>
  <c r="D224" i="20"/>
  <c r="D225" i="20" s="1"/>
  <c r="I212" i="28"/>
  <c r="I117" i="28"/>
  <c r="I224" i="28"/>
  <c r="J63" i="28"/>
  <c r="J59" i="28"/>
  <c r="M212" i="28"/>
  <c r="M117" i="28"/>
  <c r="M224" i="28"/>
  <c r="K212" i="28"/>
  <c r="K117" i="28"/>
  <c r="K224" i="28"/>
  <c r="H212" i="28"/>
  <c r="H117" i="28"/>
  <c r="H224" i="28"/>
  <c r="C221" i="28"/>
  <c r="C118" i="28"/>
  <c r="L212" i="28"/>
  <c r="L117" i="28"/>
  <c r="L224" i="28"/>
  <c r="N212" i="28"/>
  <c r="N117" i="28"/>
  <c r="N224" i="28"/>
  <c r="Q212" i="28"/>
  <c r="Q117" i="28"/>
  <c r="Q224" i="28"/>
  <c r="L63" i="28"/>
  <c r="L59" i="28"/>
  <c r="J62" i="28"/>
  <c r="J64" i="28" s="1"/>
  <c r="J68" i="28" s="1"/>
  <c r="J56" i="28"/>
  <c r="J60" i="28" s="1"/>
  <c r="Q63" i="28"/>
  <c r="Q59" i="28"/>
  <c r="D117" i="20"/>
  <c r="I62" i="28"/>
  <c r="I56" i="28"/>
  <c r="J221" i="28"/>
  <c r="J118" i="28"/>
  <c r="M62" i="28"/>
  <c r="M64" i="28" s="1"/>
  <c r="M68" i="28" s="1"/>
  <c r="M56" i="28"/>
  <c r="M60" i="28" s="1"/>
  <c r="K62" i="28"/>
  <c r="K64" i="28" s="1"/>
  <c r="K68" i="28" s="1"/>
  <c r="K56" i="28"/>
  <c r="K60" i="28" s="1"/>
  <c r="H62" i="28"/>
  <c r="H56" i="28"/>
  <c r="C63" i="28"/>
  <c r="C59" i="28"/>
  <c r="L62" i="28"/>
  <c r="L56" i="28"/>
  <c r="N62" i="28"/>
  <c r="N56" i="28"/>
  <c r="Q62" i="28"/>
  <c r="Q56" i="28"/>
  <c r="D211" i="28"/>
  <c r="D55" i="28"/>
  <c r="P221" i="28"/>
  <c r="P118" i="28"/>
  <c r="O212" i="28"/>
  <c r="O117" i="28"/>
  <c r="O224" i="28"/>
  <c r="E219" i="20"/>
  <c r="E220" i="20" s="1"/>
  <c r="E221" i="20" s="1"/>
  <c r="E219" i="28"/>
  <c r="I221" i="28"/>
  <c r="I118" i="28"/>
  <c r="D58" i="28"/>
  <c r="D220" i="28"/>
  <c r="M221" i="28"/>
  <c r="M118" i="28"/>
  <c r="N221" i="28"/>
  <c r="N118" i="28"/>
  <c r="C212" i="28"/>
  <c r="C117" i="28"/>
  <c r="C224" i="28"/>
  <c r="O221" i="28"/>
  <c r="O118" i="28"/>
  <c r="H221" i="28"/>
  <c r="H118" i="28"/>
  <c r="K118" i="28"/>
  <c r="K221" i="28"/>
  <c r="P212" i="28"/>
  <c r="P117" i="28"/>
  <c r="P224" i="28"/>
  <c r="P63" i="28"/>
  <c r="P59" i="28"/>
  <c r="O62" i="28"/>
  <c r="O56" i="28"/>
  <c r="E210" i="20"/>
  <c r="E211" i="20" s="1"/>
  <c r="E212" i="20" s="1"/>
  <c r="E210" i="28"/>
  <c r="N63" i="28"/>
  <c r="N59" i="28"/>
  <c r="H63" i="28"/>
  <c r="H59" i="28"/>
  <c r="P62" i="28"/>
  <c r="P56" i="28"/>
  <c r="L59" i="20"/>
  <c r="L63" i="20"/>
  <c r="C62" i="20"/>
  <c r="C56" i="20"/>
  <c r="L56" i="20"/>
  <c r="L62" i="20"/>
  <c r="O62" i="20"/>
  <c r="O56" i="20"/>
  <c r="P63" i="20"/>
  <c r="P59" i="20"/>
  <c r="K59" i="20"/>
  <c r="K63" i="20"/>
  <c r="J62" i="20"/>
  <c r="J56" i="20"/>
  <c r="I59" i="20"/>
  <c r="I63" i="20"/>
  <c r="K56" i="20"/>
  <c r="K62" i="20"/>
  <c r="H56" i="20"/>
  <c r="H60" i="20" s="1"/>
  <c r="H62" i="20"/>
  <c r="N56" i="20"/>
  <c r="N62" i="20"/>
  <c r="N64" i="20" s="1"/>
  <c r="N68" i="20" s="1"/>
  <c r="I62" i="20"/>
  <c r="I56" i="20"/>
  <c r="C63" i="20"/>
  <c r="C59" i="20"/>
  <c r="D118" i="20"/>
  <c r="P56" i="20"/>
  <c r="P62" i="20"/>
  <c r="J59" i="20"/>
  <c r="J63" i="20"/>
  <c r="O59" i="20"/>
  <c r="O63" i="20"/>
  <c r="Q63" i="20"/>
  <c r="Q59" i="20"/>
  <c r="Q56" i="20"/>
  <c r="Q62" i="20"/>
  <c r="M62" i="20"/>
  <c r="M56" i="20"/>
  <c r="M60" i="20" s="1"/>
  <c r="D58" i="20"/>
  <c r="D55" i="20"/>
  <c r="J43" i="26"/>
  <c r="F219" i="34" s="1"/>
  <c r="H43" i="26"/>
  <c r="F210" i="34" s="1"/>
  <c r="J119" i="20"/>
  <c r="J122" i="20" s="1"/>
  <c r="K127" i="20"/>
  <c r="K128" i="20"/>
  <c r="P119" i="20"/>
  <c r="P122" i="20" s="1"/>
  <c r="Q128" i="20"/>
  <c r="M119" i="20"/>
  <c r="M122" i="20" s="1"/>
  <c r="N128" i="20"/>
  <c r="D127" i="20"/>
  <c r="C119" i="20"/>
  <c r="D128" i="20"/>
  <c r="L128" i="20"/>
  <c r="K119" i="20"/>
  <c r="K122" i="20" s="1"/>
  <c r="L127" i="20"/>
  <c r="O119" i="20"/>
  <c r="O122" i="20" s="1"/>
  <c r="P128" i="20"/>
  <c r="L119" i="20"/>
  <c r="L122" i="20" s="1"/>
  <c r="M127" i="20"/>
  <c r="M128" i="20"/>
  <c r="N119" i="20"/>
  <c r="N122" i="20" s="1"/>
  <c r="O128" i="20"/>
  <c r="I119" i="20"/>
  <c r="I122" i="20" s="1"/>
  <c r="J127" i="20"/>
  <c r="J128" i="20"/>
  <c r="H119" i="20"/>
  <c r="H122" i="20" s="1"/>
  <c r="I127" i="20"/>
  <c r="I128" i="20"/>
  <c r="J53" i="26"/>
  <c r="G219" i="34" s="1"/>
  <c r="H53" i="26"/>
  <c r="G210" i="34" s="1"/>
  <c r="Q119" i="30" l="1"/>
  <c r="Q122" i="30" s="1"/>
  <c r="O74" i="30"/>
  <c r="P225" i="30"/>
  <c r="P128" i="30"/>
  <c r="P119" i="30"/>
  <c r="P122" i="30" s="1"/>
  <c r="O225" i="30"/>
  <c r="N70" i="34"/>
  <c r="D128" i="30"/>
  <c r="I70" i="34"/>
  <c r="I75" i="34" s="1"/>
  <c r="I76" i="34" s="1"/>
  <c r="J74" i="30"/>
  <c r="J70" i="30"/>
  <c r="J75" i="30" s="1"/>
  <c r="H64" i="20"/>
  <c r="H68" i="20" s="1"/>
  <c r="H74" i="20" s="1"/>
  <c r="K225" i="30"/>
  <c r="J128" i="30"/>
  <c r="I225" i="30"/>
  <c r="J127" i="30"/>
  <c r="M127" i="30"/>
  <c r="M128" i="30"/>
  <c r="N60" i="20"/>
  <c r="L128" i="30"/>
  <c r="E211" i="30"/>
  <c r="E117" i="30" s="1"/>
  <c r="E118" i="20"/>
  <c r="M64" i="20"/>
  <c r="M68" i="20" s="1"/>
  <c r="M74" i="20" s="1"/>
  <c r="L127" i="30"/>
  <c r="P70" i="34"/>
  <c r="P71" i="34" s="1"/>
  <c r="Q70" i="30"/>
  <c r="Q75" i="30" s="1"/>
  <c r="Q76" i="30" s="1"/>
  <c r="Q60" i="32"/>
  <c r="M60" i="32"/>
  <c r="C225" i="30"/>
  <c r="D127" i="30"/>
  <c r="M70" i="34"/>
  <c r="M71" i="34" s="1"/>
  <c r="D56" i="30"/>
  <c r="D59" i="30"/>
  <c r="I64" i="28"/>
  <c r="I68" i="28" s="1"/>
  <c r="I74" i="28" s="1"/>
  <c r="H70" i="30"/>
  <c r="H75" i="30" s="1"/>
  <c r="H76" i="30" s="1"/>
  <c r="E220" i="30"/>
  <c r="E118" i="30" s="1"/>
  <c r="L70" i="30"/>
  <c r="L71" i="30" s="1"/>
  <c r="F58" i="34"/>
  <c r="F220" i="34"/>
  <c r="J74" i="34"/>
  <c r="J70" i="34"/>
  <c r="E63" i="34"/>
  <c r="E59" i="34"/>
  <c r="D225" i="34"/>
  <c r="E128" i="34"/>
  <c r="E127" i="34"/>
  <c r="D119" i="34"/>
  <c r="D122" i="34" s="1"/>
  <c r="F126" i="34" s="1"/>
  <c r="I71" i="34"/>
  <c r="G55" i="34"/>
  <c r="G211" i="34"/>
  <c r="F211" i="34"/>
  <c r="F55" i="34"/>
  <c r="Q64" i="32"/>
  <c r="Q68" i="32" s="1"/>
  <c r="Q70" i="32" s="1"/>
  <c r="I60" i="32"/>
  <c r="P64" i="32"/>
  <c r="P68" i="32" s="1"/>
  <c r="P74" i="32" s="1"/>
  <c r="D60" i="34"/>
  <c r="C122" i="34"/>
  <c r="C120" i="34"/>
  <c r="N71" i="34"/>
  <c r="N75" i="34"/>
  <c r="N76" i="34" s="1"/>
  <c r="C74" i="34"/>
  <c r="C70" i="34"/>
  <c r="G58" i="34"/>
  <c r="G220" i="34"/>
  <c r="D64" i="34"/>
  <c r="D68" i="34" s="1"/>
  <c r="L74" i="34"/>
  <c r="L70" i="34"/>
  <c r="Q74" i="34"/>
  <c r="Q70" i="34"/>
  <c r="E212" i="34"/>
  <c r="E117" i="34"/>
  <c r="E224" i="34"/>
  <c r="C64" i="32"/>
  <c r="C68" i="32" s="1"/>
  <c r="C70" i="32" s="1"/>
  <c r="O64" i="32"/>
  <c r="O68" i="32" s="1"/>
  <c r="O70" i="32" s="1"/>
  <c r="K64" i="32"/>
  <c r="K68" i="32" s="1"/>
  <c r="K70" i="32" s="1"/>
  <c r="N60" i="32"/>
  <c r="E221" i="34"/>
  <c r="E118" i="34"/>
  <c r="H74" i="34"/>
  <c r="H70" i="34"/>
  <c r="O71" i="34"/>
  <c r="O75" i="34"/>
  <c r="O76" i="34" s="1"/>
  <c r="K74" i="34"/>
  <c r="K70" i="34"/>
  <c r="E62" i="34"/>
  <c r="E56" i="34"/>
  <c r="C225" i="32"/>
  <c r="D127" i="32"/>
  <c r="D128" i="32"/>
  <c r="C119" i="32"/>
  <c r="J60" i="32"/>
  <c r="I225" i="32"/>
  <c r="J127" i="32"/>
  <c r="I119" i="32"/>
  <c r="I122" i="32" s="1"/>
  <c r="J128" i="32"/>
  <c r="M64" i="32"/>
  <c r="M68" i="32" s="1"/>
  <c r="O225" i="32"/>
  <c r="P128" i="32"/>
  <c r="O119" i="32"/>
  <c r="O122" i="32" s="1"/>
  <c r="L225" i="32"/>
  <c r="M128" i="32"/>
  <c r="M127" i="32"/>
  <c r="L119" i="32"/>
  <c r="L122" i="32" s="1"/>
  <c r="J225" i="32"/>
  <c r="K128" i="32"/>
  <c r="K127" i="32"/>
  <c r="J119" i="32"/>
  <c r="J122" i="32" s="1"/>
  <c r="I64" i="32"/>
  <c r="I68" i="32" s="1"/>
  <c r="Q225" i="32"/>
  <c r="Q119" i="32"/>
  <c r="Q122" i="32" s="1"/>
  <c r="J64" i="32"/>
  <c r="J68" i="32" s="1"/>
  <c r="C60" i="32"/>
  <c r="O60" i="32"/>
  <c r="K60" i="32"/>
  <c r="P225" i="32"/>
  <c r="Q128" i="32"/>
  <c r="P119" i="32"/>
  <c r="P122" i="32" s="1"/>
  <c r="H60" i="32"/>
  <c r="G210" i="30"/>
  <c r="G211" i="30" s="1"/>
  <c r="G210" i="32"/>
  <c r="F210" i="30"/>
  <c r="F211" i="30" s="1"/>
  <c r="F210" i="32"/>
  <c r="D221" i="32"/>
  <c r="D118" i="32"/>
  <c r="L60" i="32"/>
  <c r="H225" i="32"/>
  <c r="I128" i="32"/>
  <c r="I127" i="32"/>
  <c r="H119" i="32"/>
  <c r="H122" i="32" s="1"/>
  <c r="D212" i="32"/>
  <c r="D117" i="32"/>
  <c r="D224" i="32"/>
  <c r="H64" i="32"/>
  <c r="H68" i="32" s="1"/>
  <c r="E58" i="32"/>
  <c r="E220" i="32"/>
  <c r="G219" i="30"/>
  <c r="G220" i="30" s="1"/>
  <c r="G219" i="32"/>
  <c r="F219" i="30"/>
  <c r="F220" i="30" s="1"/>
  <c r="F219" i="32"/>
  <c r="D63" i="32"/>
  <c r="D59" i="32"/>
  <c r="P60" i="32"/>
  <c r="N225" i="32"/>
  <c r="O128" i="32"/>
  <c r="N119" i="32"/>
  <c r="N122" i="32" s="1"/>
  <c r="L64" i="32"/>
  <c r="L68" i="32" s="1"/>
  <c r="E55" i="32"/>
  <c r="E211" i="32"/>
  <c r="M225" i="32"/>
  <c r="N128" i="32"/>
  <c r="M119" i="32"/>
  <c r="M122" i="32" s="1"/>
  <c r="D62" i="32"/>
  <c r="D56" i="32"/>
  <c r="D60" i="32" s="1"/>
  <c r="N64" i="32"/>
  <c r="N68" i="32" s="1"/>
  <c r="K225" i="32"/>
  <c r="L127" i="32"/>
  <c r="L128" i="32"/>
  <c r="K119" i="32"/>
  <c r="K122" i="32" s="1"/>
  <c r="P74" i="30"/>
  <c r="P70" i="30"/>
  <c r="N74" i="30"/>
  <c r="N70" i="30"/>
  <c r="E63" i="30"/>
  <c r="E59" i="30"/>
  <c r="F55" i="30"/>
  <c r="E224" i="20"/>
  <c r="E225" i="20" s="1"/>
  <c r="N60" i="28"/>
  <c r="K74" i="30"/>
  <c r="K70" i="30"/>
  <c r="E62" i="30"/>
  <c r="E56" i="30"/>
  <c r="O75" i="30"/>
  <c r="O76" i="30" s="1"/>
  <c r="O71" i="30"/>
  <c r="O64" i="28"/>
  <c r="O68" i="28" s="1"/>
  <c r="O74" i="28" s="1"/>
  <c r="C122" i="30"/>
  <c r="C120" i="30"/>
  <c r="D64" i="30"/>
  <c r="D68" i="30" s="1"/>
  <c r="D225" i="30"/>
  <c r="E128" i="30"/>
  <c r="E127" i="30"/>
  <c r="D119" i="30"/>
  <c r="D122" i="30" s="1"/>
  <c r="F126" i="30" s="1"/>
  <c r="C74" i="30"/>
  <c r="C70" i="30"/>
  <c r="I74" i="30"/>
  <c r="I70" i="30"/>
  <c r="M74" i="30"/>
  <c r="M70" i="30"/>
  <c r="Q64" i="28"/>
  <c r="Q68" i="28" s="1"/>
  <c r="Q74" i="28" s="1"/>
  <c r="L64" i="28"/>
  <c r="L68" i="28" s="1"/>
  <c r="L70" i="28" s="1"/>
  <c r="N64" i="28"/>
  <c r="N68" i="28" s="1"/>
  <c r="N74" i="28" s="1"/>
  <c r="O60" i="28"/>
  <c r="D62" i="28"/>
  <c r="D56" i="28"/>
  <c r="G210" i="20"/>
  <c r="G211" i="20" s="1"/>
  <c r="G212" i="20" s="1"/>
  <c r="G210" i="28"/>
  <c r="F210" i="20"/>
  <c r="F211" i="20" s="1"/>
  <c r="F212" i="20" s="1"/>
  <c r="F210" i="28"/>
  <c r="P64" i="28"/>
  <c r="P68" i="28" s="1"/>
  <c r="C225" i="28"/>
  <c r="D128" i="28"/>
  <c r="D127" i="28"/>
  <c r="C119" i="28"/>
  <c r="D63" i="28"/>
  <c r="D59" i="28"/>
  <c r="Q60" i="28"/>
  <c r="L60" i="28"/>
  <c r="H60" i="28"/>
  <c r="I60" i="28"/>
  <c r="N225" i="28"/>
  <c r="O128" i="28"/>
  <c r="N119" i="28"/>
  <c r="N122" i="28" s="1"/>
  <c r="H225" i="28"/>
  <c r="I128" i="28"/>
  <c r="H119" i="28"/>
  <c r="H122" i="28" s="1"/>
  <c r="I127" i="28"/>
  <c r="F219" i="20"/>
  <c r="F220" i="20" s="1"/>
  <c r="F221" i="20" s="1"/>
  <c r="F219" i="28"/>
  <c r="M225" i="28"/>
  <c r="N128" i="28"/>
  <c r="M119" i="28"/>
  <c r="M122" i="28" s="1"/>
  <c r="G219" i="20"/>
  <c r="G220" i="20" s="1"/>
  <c r="G221" i="20" s="1"/>
  <c r="G219" i="28"/>
  <c r="D119" i="20"/>
  <c r="D122" i="20" s="1"/>
  <c r="F126" i="20" s="1"/>
  <c r="E55" i="28"/>
  <c r="E211" i="28"/>
  <c r="O225" i="28"/>
  <c r="P128" i="28"/>
  <c r="O119" i="28"/>
  <c r="O122" i="28" s="1"/>
  <c r="H64" i="28"/>
  <c r="H68" i="28" s="1"/>
  <c r="M74" i="28"/>
  <c r="M70" i="28"/>
  <c r="Q225" i="28"/>
  <c r="Q119" i="28"/>
  <c r="Q122" i="28" s="1"/>
  <c r="J225" i="28"/>
  <c r="K128" i="28"/>
  <c r="K127" i="28"/>
  <c r="J119" i="28"/>
  <c r="J122" i="28" s="1"/>
  <c r="J74" i="28"/>
  <c r="J70" i="28"/>
  <c r="C60" i="28"/>
  <c r="P60" i="28"/>
  <c r="P225" i="28"/>
  <c r="Q128" i="28"/>
  <c r="P119" i="28"/>
  <c r="P122" i="28" s="1"/>
  <c r="D221" i="28"/>
  <c r="D118" i="28"/>
  <c r="E58" i="28"/>
  <c r="E220" i="28"/>
  <c r="D212" i="28"/>
  <c r="D117" i="28"/>
  <c r="D224" i="28"/>
  <c r="K74" i="28"/>
  <c r="K70" i="28"/>
  <c r="L225" i="28"/>
  <c r="M127" i="28"/>
  <c r="M128" i="28"/>
  <c r="L119" i="28"/>
  <c r="L122" i="28" s="1"/>
  <c r="K225" i="28"/>
  <c r="L128" i="28"/>
  <c r="L127" i="28"/>
  <c r="K119" i="28"/>
  <c r="K122" i="28" s="1"/>
  <c r="I225" i="28"/>
  <c r="J128" i="28"/>
  <c r="J127" i="28"/>
  <c r="I119" i="28"/>
  <c r="I122" i="28" s="1"/>
  <c r="C64" i="28"/>
  <c r="C68" i="28" s="1"/>
  <c r="N74" i="20"/>
  <c r="N70" i="20"/>
  <c r="N75" i="20" s="1"/>
  <c r="P60" i="20"/>
  <c r="I60" i="20"/>
  <c r="O60" i="20"/>
  <c r="C60" i="20"/>
  <c r="K60" i="20"/>
  <c r="L60" i="20"/>
  <c r="Q64" i="20"/>
  <c r="Q68" i="20" s="1"/>
  <c r="I64" i="20"/>
  <c r="I68" i="20" s="1"/>
  <c r="I70" i="20" s="1"/>
  <c r="P64" i="20"/>
  <c r="P68" i="20" s="1"/>
  <c r="P74" i="20" s="1"/>
  <c r="J60" i="20"/>
  <c r="L64" i="20"/>
  <c r="L68" i="20" s="1"/>
  <c r="J64" i="20"/>
  <c r="J68" i="20" s="1"/>
  <c r="O64" i="20"/>
  <c r="O68" i="20" s="1"/>
  <c r="C64" i="20"/>
  <c r="C68" i="20" s="1"/>
  <c r="D62" i="20"/>
  <c r="D56" i="20"/>
  <c r="E117" i="20"/>
  <c r="D63" i="20"/>
  <c r="D59" i="20"/>
  <c r="Q60" i="20"/>
  <c r="K64" i="20"/>
  <c r="K68" i="20" s="1"/>
  <c r="E58" i="20"/>
  <c r="E55" i="20"/>
  <c r="E128" i="20"/>
  <c r="E127" i="20"/>
  <c r="C122" i="20"/>
  <c r="E126" i="20" s="1"/>
  <c r="C120" i="20"/>
  <c r="H70" i="20" l="1"/>
  <c r="H75" i="20" s="1"/>
  <c r="H76" i="20" s="1"/>
  <c r="J71" i="30"/>
  <c r="J76" i="30"/>
  <c r="M70" i="20"/>
  <c r="M71" i="20" s="1"/>
  <c r="E212" i="30"/>
  <c r="P75" i="34"/>
  <c r="P76" i="34" s="1"/>
  <c r="N70" i="28"/>
  <c r="N75" i="28" s="1"/>
  <c r="N76" i="28" s="1"/>
  <c r="Q71" i="30"/>
  <c r="P70" i="20"/>
  <c r="P75" i="20" s="1"/>
  <c r="P76" i="20" s="1"/>
  <c r="E60" i="30"/>
  <c r="H71" i="30"/>
  <c r="M75" i="34"/>
  <c r="M76" i="34" s="1"/>
  <c r="C74" i="32"/>
  <c r="G58" i="30"/>
  <c r="G59" i="30" s="1"/>
  <c r="E221" i="30"/>
  <c r="P70" i="32"/>
  <c r="P75" i="32" s="1"/>
  <c r="P76" i="32" s="1"/>
  <c r="D60" i="30"/>
  <c r="I70" i="28"/>
  <c r="I71" i="28" s="1"/>
  <c r="O74" i="32"/>
  <c r="L75" i="30"/>
  <c r="L76" i="30" s="1"/>
  <c r="Q74" i="32"/>
  <c r="K74" i="32"/>
  <c r="E60" i="34"/>
  <c r="D120" i="34"/>
  <c r="D64" i="32"/>
  <c r="D68" i="32" s="1"/>
  <c r="D74" i="32" s="1"/>
  <c r="O70" i="28"/>
  <c r="O75" i="28" s="1"/>
  <c r="O76" i="28" s="1"/>
  <c r="L74" i="28"/>
  <c r="E224" i="30"/>
  <c r="F127" i="30" s="1"/>
  <c r="F58" i="30"/>
  <c r="F63" i="30" s="1"/>
  <c r="E64" i="34"/>
  <c r="E68" i="34" s="1"/>
  <c r="E225" i="34"/>
  <c r="F128" i="34"/>
  <c r="E119" i="34"/>
  <c r="E122" i="34" s="1"/>
  <c r="G126" i="34" s="1"/>
  <c r="F127" i="34"/>
  <c r="C123" i="34"/>
  <c r="D123" i="34" s="1"/>
  <c r="E126" i="34"/>
  <c r="G62" i="34"/>
  <c r="G56" i="34"/>
  <c r="F117" i="20"/>
  <c r="F224" i="20"/>
  <c r="F225" i="20" s="1"/>
  <c r="Q70" i="28"/>
  <c r="Q75" i="28" s="1"/>
  <c r="Q76" i="28" s="1"/>
  <c r="K71" i="34"/>
  <c r="K75" i="34"/>
  <c r="K76" i="34" s="1"/>
  <c r="L71" i="34"/>
  <c r="L75" i="34"/>
  <c r="L76" i="34" s="1"/>
  <c r="D74" i="34"/>
  <c r="D70" i="34"/>
  <c r="C71" i="34"/>
  <c r="C75" i="34"/>
  <c r="C76" i="34" s="1"/>
  <c r="F62" i="34"/>
  <c r="F56" i="34"/>
  <c r="G221" i="34"/>
  <c r="G118" i="34"/>
  <c r="F212" i="34"/>
  <c r="F117" i="34"/>
  <c r="F224" i="34"/>
  <c r="F221" i="34"/>
  <c r="F118" i="34"/>
  <c r="G55" i="30"/>
  <c r="G56" i="30" s="1"/>
  <c r="H71" i="34"/>
  <c r="H75" i="34"/>
  <c r="H76" i="34" s="1"/>
  <c r="Q75" i="34"/>
  <c r="Q76" i="34" s="1"/>
  <c r="Q71" i="34"/>
  <c r="G63" i="34"/>
  <c r="G59" i="34"/>
  <c r="G212" i="34"/>
  <c r="G117" i="34"/>
  <c r="G224" i="34"/>
  <c r="J71" i="34"/>
  <c r="J75" i="34"/>
  <c r="J76" i="34" s="1"/>
  <c r="F63" i="34"/>
  <c r="F59" i="34"/>
  <c r="E62" i="32"/>
  <c r="E56" i="32"/>
  <c r="D225" i="32"/>
  <c r="E128" i="32"/>
  <c r="E127" i="32"/>
  <c r="D119" i="32"/>
  <c r="D122" i="32" s="1"/>
  <c r="F126" i="32" s="1"/>
  <c r="C71" i="32"/>
  <c r="C75" i="32"/>
  <c r="F55" i="32"/>
  <c r="F211" i="32"/>
  <c r="F128" i="20"/>
  <c r="N74" i="32"/>
  <c r="N70" i="32"/>
  <c r="L74" i="32"/>
  <c r="L70" i="32"/>
  <c r="F58" i="32"/>
  <c r="F220" i="32"/>
  <c r="E221" i="32"/>
  <c r="E118" i="32"/>
  <c r="E63" i="32"/>
  <c r="E59" i="32"/>
  <c r="O75" i="32"/>
  <c r="O71" i="32"/>
  <c r="G55" i="32"/>
  <c r="G211" i="32"/>
  <c r="I74" i="32"/>
  <c r="I70" i="32"/>
  <c r="M74" i="32"/>
  <c r="M70" i="32"/>
  <c r="C120" i="32"/>
  <c r="C122" i="32"/>
  <c r="Q75" i="32"/>
  <c r="Q71" i="32"/>
  <c r="E212" i="32"/>
  <c r="E117" i="32"/>
  <c r="E224" i="32"/>
  <c r="G58" i="32"/>
  <c r="G220" i="32"/>
  <c r="H74" i="32"/>
  <c r="H70" i="32"/>
  <c r="K75" i="32"/>
  <c r="K71" i="32"/>
  <c r="J74" i="32"/>
  <c r="J70" i="32"/>
  <c r="M75" i="30"/>
  <c r="M76" i="30" s="1"/>
  <c r="M71" i="30"/>
  <c r="D74" i="30"/>
  <c r="D70" i="30"/>
  <c r="K75" i="30"/>
  <c r="K76" i="30" s="1"/>
  <c r="K71" i="30"/>
  <c r="F212" i="30"/>
  <c r="F117" i="30"/>
  <c r="F224" i="30"/>
  <c r="F221" i="30"/>
  <c r="F118" i="30"/>
  <c r="G58" i="20"/>
  <c r="G59" i="20" s="1"/>
  <c r="D120" i="30"/>
  <c r="F62" i="30"/>
  <c r="F56" i="30"/>
  <c r="P75" i="30"/>
  <c r="P76" i="30" s="1"/>
  <c r="P71" i="30"/>
  <c r="I75" i="30"/>
  <c r="I76" i="30" s="1"/>
  <c r="I71" i="30"/>
  <c r="C75" i="30"/>
  <c r="C76" i="30" s="1"/>
  <c r="C71" i="30"/>
  <c r="C123" i="30"/>
  <c r="D123" i="30" s="1"/>
  <c r="E126" i="30"/>
  <c r="G212" i="30"/>
  <c r="G117" i="30"/>
  <c r="G224" i="30"/>
  <c r="G221" i="30"/>
  <c r="G118" i="30"/>
  <c r="D120" i="20"/>
  <c r="E64" i="30"/>
  <c r="E68" i="30" s="1"/>
  <c r="G62" i="30"/>
  <c r="N71" i="30"/>
  <c r="N75" i="30"/>
  <c r="N76" i="30" s="1"/>
  <c r="G63" i="30"/>
  <c r="D64" i="28"/>
  <c r="D68" i="28" s="1"/>
  <c r="D74" i="28" s="1"/>
  <c r="K75" i="28"/>
  <c r="K76" i="28" s="1"/>
  <c r="K71" i="28"/>
  <c r="E63" i="28"/>
  <c r="E59" i="28"/>
  <c r="J75" i="28"/>
  <c r="J76" i="28" s="1"/>
  <c r="J71" i="28"/>
  <c r="H74" i="28"/>
  <c r="H70" i="28"/>
  <c r="E212" i="28"/>
  <c r="E117" i="28"/>
  <c r="E224" i="28"/>
  <c r="F58" i="28"/>
  <c r="F220" i="28"/>
  <c r="G55" i="28"/>
  <c r="G211" i="28"/>
  <c r="G224" i="20"/>
  <c r="G225" i="20" s="1"/>
  <c r="L75" i="28"/>
  <c r="L71" i="28"/>
  <c r="E62" i="28"/>
  <c r="E64" i="28" s="1"/>
  <c r="E68" i="28" s="1"/>
  <c r="E56" i="28"/>
  <c r="P74" i="28"/>
  <c r="P70" i="28"/>
  <c r="D225" i="28"/>
  <c r="E127" i="28"/>
  <c r="E128" i="28"/>
  <c r="D119" i="28"/>
  <c r="D122" i="28" s="1"/>
  <c r="F126" i="28" s="1"/>
  <c r="M71" i="28"/>
  <c r="M75" i="28"/>
  <c r="M76" i="28" s="1"/>
  <c r="F55" i="28"/>
  <c r="F211" i="28"/>
  <c r="D60" i="28"/>
  <c r="C74" i="28"/>
  <c r="C70" i="28"/>
  <c r="E221" i="28"/>
  <c r="E118" i="28"/>
  <c r="G58" i="28"/>
  <c r="G220" i="28"/>
  <c r="C120" i="28"/>
  <c r="C122" i="28"/>
  <c r="I74" i="20"/>
  <c r="N76" i="20"/>
  <c r="N71" i="20"/>
  <c r="L70" i="20"/>
  <c r="L74" i="20"/>
  <c r="Q74" i="20"/>
  <c r="Q70" i="20"/>
  <c r="H71" i="20"/>
  <c r="E63" i="20"/>
  <c r="E59" i="20"/>
  <c r="F118" i="20"/>
  <c r="J70" i="20"/>
  <c r="J74" i="20"/>
  <c r="G55" i="20"/>
  <c r="I75" i="20"/>
  <c r="I71" i="20"/>
  <c r="O74" i="20"/>
  <c r="O70" i="20"/>
  <c r="G117" i="20"/>
  <c r="F58" i="20"/>
  <c r="F59" i="20" s="1"/>
  <c r="K70" i="20"/>
  <c r="K74" i="20"/>
  <c r="D60" i="20"/>
  <c r="E56" i="20"/>
  <c r="E62" i="20"/>
  <c r="E64" i="20" s="1"/>
  <c r="E68" i="20" s="1"/>
  <c r="D64" i="20"/>
  <c r="D68" i="20" s="1"/>
  <c r="C74" i="20"/>
  <c r="C70" i="20"/>
  <c r="F55" i="20"/>
  <c r="F127" i="20"/>
  <c r="E119" i="20"/>
  <c r="E122" i="20" s="1"/>
  <c r="G126" i="20" s="1"/>
  <c r="G118" i="20"/>
  <c r="C123" i="20"/>
  <c r="D123" i="20" s="1"/>
  <c r="E60" i="28" l="1"/>
  <c r="M75" i="20"/>
  <c r="M76" i="20" s="1"/>
  <c r="N71" i="28"/>
  <c r="I76" i="20"/>
  <c r="O76" i="32"/>
  <c r="P71" i="20"/>
  <c r="O71" i="28"/>
  <c r="K76" i="32"/>
  <c r="I75" i="28"/>
  <c r="I76" i="28" s="1"/>
  <c r="Q76" i="32"/>
  <c r="C76" i="32"/>
  <c r="E120" i="34"/>
  <c r="P71" i="32"/>
  <c r="D70" i="32"/>
  <c r="D75" i="32" s="1"/>
  <c r="D76" i="32" s="1"/>
  <c r="E119" i="30"/>
  <c r="E122" i="30" s="1"/>
  <c r="G126" i="30" s="1"/>
  <c r="E123" i="34"/>
  <c r="Q71" i="28"/>
  <c r="D70" i="28"/>
  <c r="D75" i="28" s="1"/>
  <c r="D76" i="28" s="1"/>
  <c r="E225" i="30"/>
  <c r="L76" i="28"/>
  <c r="F128" i="30"/>
  <c r="F59" i="30"/>
  <c r="F60" i="30" s="1"/>
  <c r="F60" i="34"/>
  <c r="G60" i="34"/>
  <c r="D120" i="32"/>
  <c r="G63" i="20"/>
  <c r="F225" i="34"/>
  <c r="G127" i="34"/>
  <c r="G128" i="34"/>
  <c r="F119" i="34"/>
  <c r="F122" i="34" s="1"/>
  <c r="D71" i="34"/>
  <c r="D75" i="34"/>
  <c r="D76" i="34" s="1"/>
  <c r="E60" i="32"/>
  <c r="F64" i="34"/>
  <c r="F68" i="34" s="1"/>
  <c r="E74" i="34"/>
  <c r="E70" i="34"/>
  <c r="G225" i="34"/>
  <c r="H127" i="34"/>
  <c r="G119" i="34"/>
  <c r="G122" i="34" s="1"/>
  <c r="I126" i="34" s="1"/>
  <c r="H128" i="34"/>
  <c r="G64" i="34"/>
  <c r="G68" i="34" s="1"/>
  <c r="G221" i="32"/>
  <c r="G118" i="32"/>
  <c r="G62" i="32"/>
  <c r="G56" i="32"/>
  <c r="F221" i="32"/>
  <c r="F118" i="32"/>
  <c r="N71" i="32"/>
  <c r="N75" i="32"/>
  <c r="N76" i="32" s="1"/>
  <c r="D120" i="28"/>
  <c r="J71" i="32"/>
  <c r="J75" i="32"/>
  <c r="J76" i="32" s="1"/>
  <c r="G63" i="32"/>
  <c r="G59" i="32"/>
  <c r="C123" i="32"/>
  <c r="D123" i="32" s="1"/>
  <c r="E126" i="32"/>
  <c r="I75" i="32"/>
  <c r="I76" i="32" s="1"/>
  <c r="I71" i="32"/>
  <c r="F63" i="32"/>
  <c r="F59" i="32"/>
  <c r="F212" i="32"/>
  <c r="F117" i="32"/>
  <c r="F224" i="32"/>
  <c r="H71" i="32"/>
  <c r="H75" i="32"/>
  <c r="H76" i="32" s="1"/>
  <c r="E225" i="32"/>
  <c r="F128" i="32"/>
  <c r="F127" i="32"/>
  <c r="E119" i="32"/>
  <c r="E122" i="32" s="1"/>
  <c r="G126" i="32" s="1"/>
  <c r="L71" i="32"/>
  <c r="L75" i="32"/>
  <c r="L76" i="32" s="1"/>
  <c r="F62" i="32"/>
  <c r="F56" i="32"/>
  <c r="M75" i="32"/>
  <c r="M76" i="32" s="1"/>
  <c r="M71" i="32"/>
  <c r="G212" i="32"/>
  <c r="G117" i="32"/>
  <c r="G224" i="32"/>
  <c r="E64" i="32"/>
  <c r="E68" i="32" s="1"/>
  <c r="E74" i="30"/>
  <c r="E70" i="30"/>
  <c r="G60" i="30"/>
  <c r="F64" i="30"/>
  <c r="F68" i="30" s="1"/>
  <c r="F225" i="30"/>
  <c r="G128" i="30"/>
  <c r="F119" i="30"/>
  <c r="F122" i="30" s="1"/>
  <c r="H126" i="30" s="1"/>
  <c r="G127" i="30"/>
  <c r="G64" i="30"/>
  <c r="G68" i="30" s="1"/>
  <c r="G225" i="30"/>
  <c r="H127" i="30"/>
  <c r="H128" i="30"/>
  <c r="G119" i="30"/>
  <c r="G122" i="30" s="1"/>
  <c r="I126" i="30" s="1"/>
  <c r="D75" i="30"/>
  <c r="D76" i="30" s="1"/>
  <c r="D71" i="30"/>
  <c r="G212" i="28"/>
  <c r="G117" i="28"/>
  <c r="G224" i="28"/>
  <c r="F63" i="28"/>
  <c r="F59" i="28"/>
  <c r="H75" i="28"/>
  <c r="H76" i="28" s="1"/>
  <c r="H71" i="28"/>
  <c r="F212" i="28"/>
  <c r="F117" i="28"/>
  <c r="F224" i="28"/>
  <c r="P75" i="28"/>
  <c r="P76" i="28" s="1"/>
  <c r="P71" i="28"/>
  <c r="E74" i="28"/>
  <c r="E70" i="28"/>
  <c r="G62" i="28"/>
  <c r="G56" i="28"/>
  <c r="E225" i="28"/>
  <c r="F128" i="28"/>
  <c r="F127" i="28"/>
  <c r="E119" i="28"/>
  <c r="E122" i="28" s="1"/>
  <c r="G126" i="28" s="1"/>
  <c r="G63" i="28"/>
  <c r="G59" i="28"/>
  <c r="E126" i="28"/>
  <c r="C123" i="28"/>
  <c r="D123" i="28" s="1"/>
  <c r="G221" i="28"/>
  <c r="G118" i="28"/>
  <c r="C75" i="28"/>
  <c r="C76" i="28" s="1"/>
  <c r="C71" i="28"/>
  <c r="F62" i="28"/>
  <c r="F56" i="28"/>
  <c r="F221" i="28"/>
  <c r="F118" i="28"/>
  <c r="F63" i="20"/>
  <c r="L75" i="20"/>
  <c r="L76" i="20" s="1"/>
  <c r="L71" i="20"/>
  <c r="Q71" i="20"/>
  <c r="Q75" i="20"/>
  <c r="Q76" i="20" s="1"/>
  <c r="D70" i="20"/>
  <c r="D74" i="20"/>
  <c r="O71" i="20"/>
  <c r="O75" i="20"/>
  <c r="O76" i="20" s="1"/>
  <c r="G56" i="20"/>
  <c r="G60" i="20" s="1"/>
  <c r="G62" i="20"/>
  <c r="F62" i="20"/>
  <c r="F56" i="20"/>
  <c r="F60" i="20" s="1"/>
  <c r="E74" i="20"/>
  <c r="E70" i="20"/>
  <c r="K75" i="20"/>
  <c r="K76" i="20" s="1"/>
  <c r="K71" i="20"/>
  <c r="C75" i="20"/>
  <c r="C76" i="20" s="1"/>
  <c r="C71" i="20"/>
  <c r="E60" i="20"/>
  <c r="J71" i="20"/>
  <c r="J75" i="20"/>
  <c r="J76" i="20" s="1"/>
  <c r="E120" i="20"/>
  <c r="E123" i="20"/>
  <c r="G127" i="20"/>
  <c r="G128" i="20"/>
  <c r="F119" i="20"/>
  <c r="F122" i="20" s="1"/>
  <c r="H126" i="20" s="1"/>
  <c r="G119" i="20"/>
  <c r="G122" i="20" s="1"/>
  <c r="I126" i="20" s="1"/>
  <c r="H127" i="20"/>
  <c r="H128" i="20"/>
  <c r="E120" i="30" l="1"/>
  <c r="E123" i="30"/>
  <c r="F123" i="30" s="1"/>
  <c r="G123" i="30" s="1"/>
  <c r="H123" i="30" s="1"/>
  <c r="I123" i="30" s="1"/>
  <c r="J123" i="30" s="1"/>
  <c r="K123" i="30" s="1"/>
  <c r="L123" i="30" s="1"/>
  <c r="M123" i="30" s="1"/>
  <c r="N123" i="30" s="1"/>
  <c r="O123" i="30" s="1"/>
  <c r="P123" i="30" s="1"/>
  <c r="Q123" i="30" s="1"/>
  <c r="D71" i="28"/>
  <c r="D71" i="32"/>
  <c r="C128" i="34"/>
  <c r="F123" i="34"/>
  <c r="G123" i="34" s="1"/>
  <c r="H123" i="34" s="1"/>
  <c r="I123" i="34" s="1"/>
  <c r="J123" i="34" s="1"/>
  <c r="K123" i="34" s="1"/>
  <c r="L123" i="34" s="1"/>
  <c r="M123" i="34" s="1"/>
  <c r="N123" i="34" s="1"/>
  <c r="O123" i="34" s="1"/>
  <c r="P123" i="34" s="1"/>
  <c r="Q123" i="34" s="1"/>
  <c r="F60" i="32"/>
  <c r="E123" i="32"/>
  <c r="E75" i="34"/>
  <c r="E76" i="34" s="1"/>
  <c r="E71" i="34"/>
  <c r="F64" i="32"/>
  <c r="F68" i="32" s="1"/>
  <c r="F74" i="32" s="1"/>
  <c r="E120" i="32"/>
  <c r="C127" i="34"/>
  <c r="G64" i="20"/>
  <c r="G68" i="20" s="1"/>
  <c r="G70" i="20" s="1"/>
  <c r="G71" i="20" s="1"/>
  <c r="F120" i="34"/>
  <c r="G120" i="34" s="1"/>
  <c r="H120" i="34" s="1"/>
  <c r="I120" i="34" s="1"/>
  <c r="J120" i="34" s="1"/>
  <c r="K120" i="34" s="1"/>
  <c r="L120" i="34" s="1"/>
  <c r="M120" i="34" s="1"/>
  <c r="N120" i="34" s="1"/>
  <c r="O120" i="34" s="1"/>
  <c r="P120" i="34" s="1"/>
  <c r="Q120" i="34" s="1"/>
  <c r="F74" i="34"/>
  <c r="F70" i="34"/>
  <c r="H126" i="34"/>
  <c r="C126" i="34" s="1"/>
  <c r="C130" i="34"/>
  <c r="C131" i="34" s="1"/>
  <c r="G74" i="34"/>
  <c r="G70" i="34"/>
  <c r="C128" i="30"/>
  <c r="G225" i="32"/>
  <c r="H128" i="32"/>
  <c r="G119" i="32"/>
  <c r="G122" i="32" s="1"/>
  <c r="I126" i="32" s="1"/>
  <c r="H127" i="32"/>
  <c r="F225" i="32"/>
  <c r="G127" i="32"/>
  <c r="F119" i="32"/>
  <c r="F122" i="32" s="1"/>
  <c r="H126" i="32" s="1"/>
  <c r="C126" i="32" s="1"/>
  <c r="G128" i="32"/>
  <c r="G64" i="32"/>
  <c r="G68" i="32" s="1"/>
  <c r="E74" i="32"/>
  <c r="E70" i="32"/>
  <c r="G60" i="32"/>
  <c r="C127" i="30"/>
  <c r="C126" i="30"/>
  <c r="C130" i="30"/>
  <c r="C131" i="30" s="1"/>
  <c r="G60" i="28"/>
  <c r="G74" i="30"/>
  <c r="G70" i="30"/>
  <c r="E75" i="30"/>
  <c r="E76" i="30" s="1"/>
  <c r="E71" i="30"/>
  <c r="F74" i="30"/>
  <c r="F70" i="30"/>
  <c r="F120" i="30"/>
  <c r="G120" i="30" s="1"/>
  <c r="H120" i="30" s="1"/>
  <c r="I120" i="30" s="1"/>
  <c r="J120" i="30" s="1"/>
  <c r="K120" i="30" s="1"/>
  <c r="L120" i="30" s="1"/>
  <c r="M120" i="30" s="1"/>
  <c r="N120" i="30" s="1"/>
  <c r="O120" i="30" s="1"/>
  <c r="P120" i="30" s="1"/>
  <c r="Q120" i="30" s="1"/>
  <c r="E123" i="28"/>
  <c r="F60" i="28"/>
  <c r="G225" i="28"/>
  <c r="H128" i="28"/>
  <c r="H127" i="28"/>
  <c r="G119" i="28"/>
  <c r="G122" i="28" s="1"/>
  <c r="I126" i="28" s="1"/>
  <c r="C126" i="20"/>
  <c r="F64" i="28"/>
  <c r="F68" i="28" s="1"/>
  <c r="G64" i="28"/>
  <c r="G68" i="28" s="1"/>
  <c r="E120" i="28"/>
  <c r="E71" i="28"/>
  <c r="E75" i="28"/>
  <c r="E76" i="28" s="1"/>
  <c r="F225" i="28"/>
  <c r="G128" i="28"/>
  <c r="G127" i="28"/>
  <c r="F119" i="28"/>
  <c r="F122" i="28" s="1"/>
  <c r="H126" i="28" s="1"/>
  <c r="F64" i="20"/>
  <c r="F68" i="20" s="1"/>
  <c r="F74" i="20" s="1"/>
  <c r="E71" i="20"/>
  <c r="E75" i="20"/>
  <c r="E76" i="20" s="1"/>
  <c r="D75" i="20"/>
  <c r="D76" i="20" s="1"/>
  <c r="D71" i="20"/>
  <c r="F123" i="20"/>
  <c r="G123" i="20" s="1"/>
  <c r="H123" i="20" s="1"/>
  <c r="I123" i="20" s="1"/>
  <c r="J123" i="20" s="1"/>
  <c r="K123" i="20" s="1"/>
  <c r="L123" i="20" s="1"/>
  <c r="M123" i="20" s="1"/>
  <c r="N123" i="20" s="1"/>
  <c r="O123" i="20" s="1"/>
  <c r="P123" i="20" s="1"/>
  <c r="Q123" i="20" s="1"/>
  <c r="C128" i="20"/>
  <c r="C127" i="20"/>
  <c r="F120" i="20"/>
  <c r="G120" i="20" s="1"/>
  <c r="H120" i="20" s="1"/>
  <c r="I120" i="20" s="1"/>
  <c r="J120" i="20" s="1"/>
  <c r="K120" i="20" s="1"/>
  <c r="L120" i="20" s="1"/>
  <c r="M120" i="20" s="1"/>
  <c r="N120" i="20" s="1"/>
  <c r="O120" i="20" s="1"/>
  <c r="P120" i="20" s="1"/>
  <c r="Q120" i="20" s="1"/>
  <c r="C130" i="20"/>
  <c r="C131" i="20" s="1"/>
  <c r="G74" i="20" l="1"/>
  <c r="F123" i="32"/>
  <c r="G123" i="32" s="1"/>
  <c r="H123" i="32" s="1"/>
  <c r="I123" i="32" s="1"/>
  <c r="J123" i="32" s="1"/>
  <c r="K123" i="32" s="1"/>
  <c r="L123" i="32" s="1"/>
  <c r="M123" i="32" s="1"/>
  <c r="N123" i="32" s="1"/>
  <c r="O123" i="32" s="1"/>
  <c r="P123" i="32" s="1"/>
  <c r="Q123" i="32" s="1"/>
  <c r="C126" i="28"/>
  <c r="F70" i="32"/>
  <c r="F75" i="32" s="1"/>
  <c r="F76" i="32" s="1"/>
  <c r="C130" i="32"/>
  <c r="C131" i="32" s="1"/>
  <c r="G71" i="34"/>
  <c r="G75" i="34"/>
  <c r="G76" i="34" s="1"/>
  <c r="F71" i="34"/>
  <c r="F75" i="34"/>
  <c r="F76" i="34" s="1"/>
  <c r="C128" i="32"/>
  <c r="C127" i="32"/>
  <c r="F123" i="28"/>
  <c r="G123" i="28" s="1"/>
  <c r="H123" i="28" s="1"/>
  <c r="I123" i="28" s="1"/>
  <c r="J123" i="28" s="1"/>
  <c r="K123" i="28" s="1"/>
  <c r="L123" i="28" s="1"/>
  <c r="M123" i="28" s="1"/>
  <c r="N123" i="28" s="1"/>
  <c r="O123" i="28" s="1"/>
  <c r="P123" i="28" s="1"/>
  <c r="Q123" i="28" s="1"/>
  <c r="F120" i="32"/>
  <c r="G120" i="32" s="1"/>
  <c r="H120" i="32" s="1"/>
  <c r="I120" i="32" s="1"/>
  <c r="J120" i="32" s="1"/>
  <c r="K120" i="32" s="1"/>
  <c r="L120" i="32" s="1"/>
  <c r="M120" i="32" s="1"/>
  <c r="N120" i="32" s="1"/>
  <c r="O120" i="32" s="1"/>
  <c r="P120" i="32" s="1"/>
  <c r="Q120" i="32" s="1"/>
  <c r="G74" i="32"/>
  <c r="G70" i="32"/>
  <c r="E75" i="32"/>
  <c r="E76" i="32" s="1"/>
  <c r="E71" i="32"/>
  <c r="C127" i="28"/>
  <c r="F71" i="30"/>
  <c r="F75" i="30"/>
  <c r="F76" i="30" s="1"/>
  <c r="G71" i="30"/>
  <c r="G75" i="30"/>
  <c r="G76" i="30" s="1"/>
  <c r="C128" i="28"/>
  <c r="G74" i="28"/>
  <c r="G70" i="28"/>
  <c r="F74" i="28"/>
  <c r="F70" i="28"/>
  <c r="F120" i="28"/>
  <c r="G120" i="28" s="1"/>
  <c r="H120" i="28" s="1"/>
  <c r="I120" i="28" s="1"/>
  <c r="J120" i="28" s="1"/>
  <c r="K120" i="28" s="1"/>
  <c r="L120" i="28" s="1"/>
  <c r="M120" i="28" s="1"/>
  <c r="N120" i="28" s="1"/>
  <c r="O120" i="28" s="1"/>
  <c r="P120" i="28" s="1"/>
  <c r="Q120" i="28" s="1"/>
  <c r="C130" i="28"/>
  <c r="C131" i="28" s="1"/>
  <c r="F70" i="20"/>
  <c r="F71" i="20" s="1"/>
  <c r="G75" i="20"/>
  <c r="G76" i="20" s="1"/>
  <c r="F71" i="32" l="1"/>
  <c r="G71" i="32"/>
  <c r="G75" i="32"/>
  <c r="G76" i="32" s="1"/>
  <c r="F75" i="28"/>
  <c r="F76" i="28" s="1"/>
  <c r="F71" i="28"/>
  <c r="G75" i="28"/>
  <c r="G76" i="28" s="1"/>
  <c r="G71" i="28"/>
  <c r="F75" i="20"/>
  <c r="F76" i="20" l="1"/>
  <c r="E11" i="26"/>
  <c r="E12" i="26"/>
  <c r="E32" i="26"/>
  <c r="E31" i="26"/>
  <c r="E41" i="26"/>
  <c r="E51" i="26" s="1"/>
  <c r="E61" i="26" s="1"/>
  <c r="E71" i="26" s="1"/>
  <c r="E81" i="26" s="1"/>
  <c r="E91" i="26" s="1"/>
  <c r="E101" i="26" s="1"/>
  <c r="E111" i="26" s="1"/>
  <c r="E121" i="26" s="1"/>
  <c r="E131" i="26" s="1"/>
  <c r="E141" i="26" s="1"/>
  <c r="E151" i="26" s="1"/>
  <c r="E42" i="26" l="1"/>
  <c r="E52" i="26" s="1"/>
  <c r="E62" i="26" s="1"/>
  <c r="E72" i="26" s="1"/>
  <c r="E82" i="26" s="1"/>
  <c r="E92" i="26" s="1"/>
  <c r="E102" i="26" s="1"/>
  <c r="E112" i="26" s="1"/>
  <c r="E122" i="26" s="1"/>
  <c r="E132" i="26" s="1"/>
  <c r="E142" i="26" s="1"/>
  <c r="E152" i="26" s="1"/>
  <c r="D12" i="26"/>
  <c r="H21" i="26"/>
  <c r="G21" i="26"/>
  <c r="I21" i="26"/>
  <c r="J21" i="26"/>
  <c r="J22" i="26"/>
  <c r="I22" i="26"/>
  <c r="H22" i="26"/>
  <c r="C12" i="26"/>
  <c r="G22" i="26"/>
  <c r="C11" i="26"/>
  <c r="J11" i="26" s="1"/>
  <c r="C32" i="26"/>
  <c r="G32" i="26" s="1"/>
  <c r="C31" i="26"/>
  <c r="I31" i="26" s="1"/>
  <c r="D11" i="26"/>
  <c r="D31" i="26"/>
  <c r="D41" i="26" s="1"/>
  <c r="D51" i="26" s="1"/>
  <c r="D61" i="26" s="1"/>
  <c r="D71" i="26" s="1"/>
  <c r="D81" i="26" s="1"/>
  <c r="D91" i="26" s="1"/>
  <c r="D101" i="26" s="1"/>
  <c r="D111" i="26" s="1"/>
  <c r="D121" i="26" s="1"/>
  <c r="D131" i="26" s="1"/>
  <c r="D141" i="26" s="1"/>
  <c r="D151" i="26" s="1"/>
  <c r="D32" i="26"/>
  <c r="D42" i="26" s="1"/>
  <c r="D52" i="26" s="1"/>
  <c r="D62" i="26" s="1"/>
  <c r="D72" i="26" s="1"/>
  <c r="D82" i="26" s="1"/>
  <c r="D92" i="26" s="1"/>
  <c r="D102" i="26" s="1"/>
  <c r="D112" i="26" s="1"/>
  <c r="D122" i="26" s="1"/>
  <c r="D132" i="26" s="1"/>
  <c r="D142" i="26" s="1"/>
  <c r="D152" i="26" s="1"/>
  <c r="C41" i="26" l="1"/>
  <c r="J41" i="26" s="1"/>
  <c r="I11" i="26"/>
  <c r="H11" i="26"/>
  <c r="G31" i="26"/>
  <c r="J31" i="26"/>
  <c r="G11" i="26"/>
  <c r="I41" i="26"/>
  <c r="J32" i="26"/>
  <c r="C42" i="26"/>
  <c r="H41" i="26"/>
  <c r="H32" i="26"/>
  <c r="H31" i="26"/>
  <c r="G41" i="26"/>
  <c r="I32" i="26"/>
  <c r="C51" i="26"/>
  <c r="I42" i="26" l="1"/>
  <c r="H42" i="26"/>
  <c r="J42" i="26"/>
  <c r="G42" i="26"/>
  <c r="C52" i="26"/>
  <c r="H51" i="26"/>
  <c r="G51" i="26"/>
  <c r="J51" i="26"/>
  <c r="I51" i="26"/>
  <c r="C61" i="26"/>
  <c r="J61" i="26" l="1"/>
  <c r="G61" i="26"/>
  <c r="I61" i="26"/>
  <c r="C71" i="26"/>
  <c r="H61" i="26"/>
  <c r="J52" i="26"/>
  <c r="C62" i="26"/>
  <c r="G52" i="26"/>
  <c r="H52" i="26"/>
  <c r="I52" i="26"/>
  <c r="J71" i="26" l="1"/>
  <c r="H71" i="26"/>
  <c r="G71" i="26"/>
  <c r="I71" i="26"/>
  <c r="C81" i="26"/>
  <c r="J62" i="26"/>
  <c r="G62" i="26"/>
  <c r="C72" i="26"/>
  <c r="H62" i="26"/>
  <c r="I62" i="26"/>
  <c r="I72" i="26" l="1"/>
  <c r="G72" i="26"/>
  <c r="H72" i="26"/>
  <c r="C82" i="26"/>
  <c r="J72" i="26"/>
  <c r="I81" i="26"/>
  <c r="C91" i="26"/>
  <c r="G81" i="26"/>
  <c r="J81" i="26"/>
  <c r="H81" i="26"/>
  <c r="H82" i="26" l="1"/>
  <c r="J82" i="26"/>
  <c r="G82" i="26"/>
  <c r="I82" i="26"/>
  <c r="C92" i="26"/>
  <c r="G91" i="26"/>
  <c r="J91" i="26"/>
  <c r="I91" i="26"/>
  <c r="H91" i="26"/>
  <c r="C101" i="26"/>
  <c r="I101" i="26" l="1"/>
  <c r="G101" i="26"/>
  <c r="H101" i="26"/>
  <c r="C111" i="26"/>
  <c r="J101" i="26"/>
  <c r="I92" i="26"/>
  <c r="C102" i="26"/>
  <c r="G92" i="26"/>
  <c r="J92" i="26"/>
  <c r="H92" i="26"/>
  <c r="J111" i="26" l="1"/>
  <c r="H111" i="26"/>
  <c r="G111" i="26"/>
  <c r="I111" i="26"/>
  <c r="C121" i="26"/>
  <c r="G102" i="26"/>
  <c r="J102" i="26"/>
  <c r="C112" i="26"/>
  <c r="I102" i="26"/>
  <c r="H102" i="26"/>
  <c r="G112" i="26" l="1"/>
  <c r="H112" i="26"/>
  <c r="J112" i="26"/>
  <c r="C122" i="26"/>
  <c r="I112" i="26"/>
  <c r="I121" i="26"/>
  <c r="C131" i="26"/>
  <c r="J121" i="26"/>
  <c r="G121" i="26"/>
  <c r="H121" i="26"/>
  <c r="H122" i="26" l="1"/>
  <c r="G122" i="26"/>
  <c r="I122" i="26"/>
  <c r="J122" i="26"/>
  <c r="C132" i="26"/>
  <c r="I131" i="26"/>
  <c r="G131" i="26"/>
  <c r="J131" i="26"/>
  <c r="H131" i="26"/>
  <c r="C141" i="26"/>
  <c r="H141" i="26" l="1"/>
  <c r="J141" i="26"/>
  <c r="I141" i="26"/>
  <c r="C151" i="26"/>
  <c r="G141" i="26"/>
  <c r="G132" i="26"/>
  <c r="C142" i="26"/>
  <c r="H132" i="26"/>
  <c r="I132" i="26"/>
  <c r="J132" i="26"/>
  <c r="J151" i="26" l="1"/>
  <c r="I151" i="26"/>
  <c r="G151" i="26"/>
  <c r="H151" i="26"/>
  <c r="H142" i="26"/>
  <c r="J142" i="26"/>
  <c r="I142" i="26"/>
  <c r="G142" i="26"/>
  <c r="C152" i="26"/>
  <c r="I152" i="26" l="1"/>
  <c r="J152" i="26"/>
  <c r="H152" i="26"/>
  <c r="G152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 Allen</author>
  </authors>
  <commentList>
    <comment ref="A6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D Allen:</t>
        </r>
        <r>
          <rPr>
            <sz val="8"/>
            <color indexed="81"/>
            <rFont val="Tahoma"/>
            <family val="2"/>
          </rPr>
          <t xml:space="preserve">
Enter From Depreciation Schedule. Otherwise adjust buildings value (B33)</t>
        </r>
      </text>
    </comment>
    <comment ref="A6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D Allen:</t>
        </r>
        <r>
          <rPr>
            <sz val="8"/>
            <color indexed="81"/>
            <rFont val="Tahoma"/>
            <family val="2"/>
          </rPr>
          <t xml:space="preserve">
Will Calculate 30% (Deminising Value) off value in B34. To override put values in here.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 Allen</author>
  </authors>
  <commentList>
    <comment ref="A6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D Allen:</t>
        </r>
        <r>
          <rPr>
            <sz val="8"/>
            <color indexed="81"/>
            <rFont val="Tahoma"/>
            <family val="2"/>
          </rPr>
          <t xml:space="preserve">
Enter From Depreciation Schedule. Otherwise adjust buildings value (B33)</t>
        </r>
      </text>
    </comment>
    <comment ref="A62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D Allen:</t>
        </r>
        <r>
          <rPr>
            <sz val="8"/>
            <color indexed="81"/>
            <rFont val="Tahoma"/>
            <family val="2"/>
          </rPr>
          <t xml:space="preserve">
Will Calculate 30% (Deminising Value) off value in B34. To override put values in here.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 Allen</author>
  </authors>
  <commentList>
    <comment ref="A61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D Allen:</t>
        </r>
        <r>
          <rPr>
            <sz val="8"/>
            <color indexed="81"/>
            <rFont val="Tahoma"/>
            <family val="2"/>
          </rPr>
          <t xml:space="preserve">
Enter From Depreciation Schedule. Otherwise adjust buildings value (B33)</t>
        </r>
      </text>
    </comment>
    <comment ref="A62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D Allen:</t>
        </r>
        <r>
          <rPr>
            <sz val="8"/>
            <color indexed="81"/>
            <rFont val="Tahoma"/>
            <family val="2"/>
          </rPr>
          <t xml:space="preserve">
Will Calculate 30% (Deminising Value) off value in B34. To override put values in here.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 Allen</author>
  </authors>
  <commentList>
    <comment ref="A61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D Allen:</t>
        </r>
        <r>
          <rPr>
            <sz val="8"/>
            <color indexed="81"/>
            <rFont val="Tahoma"/>
            <family val="2"/>
          </rPr>
          <t xml:space="preserve">
Enter From Depreciation Schedule. Otherwise adjust buildings value (B33)</t>
        </r>
      </text>
    </comment>
    <comment ref="A62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D Allen:</t>
        </r>
        <r>
          <rPr>
            <sz val="8"/>
            <color indexed="81"/>
            <rFont val="Tahoma"/>
            <family val="2"/>
          </rPr>
          <t xml:space="preserve">
Will Calculate 30% (Deminising Value) off value in B34. To override put values in here.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 Allen</author>
  </authors>
  <commentList>
    <comment ref="A61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D Allen:</t>
        </r>
        <r>
          <rPr>
            <sz val="8"/>
            <color indexed="81"/>
            <rFont val="Tahoma"/>
            <family val="2"/>
          </rPr>
          <t xml:space="preserve">
Enter From Depreciation Schedule. Otherwise adjust buildings value (B33)</t>
        </r>
      </text>
    </comment>
    <comment ref="A62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D Allen:</t>
        </r>
        <r>
          <rPr>
            <sz val="8"/>
            <color indexed="81"/>
            <rFont val="Tahoma"/>
            <family val="2"/>
          </rPr>
          <t xml:space="preserve">
Will Calculate 30% (Deminising Value) off value in B34. To override put values in here.</t>
        </r>
      </text>
    </comment>
  </commentList>
</comments>
</file>

<file path=xl/sharedStrings.xml><?xml version="1.0" encoding="utf-8"?>
<sst xmlns="http://schemas.openxmlformats.org/spreadsheetml/2006/main" count="1644" uniqueCount="260">
  <si>
    <t>ACT</t>
  </si>
  <si>
    <t>NSW</t>
  </si>
  <si>
    <t>NT</t>
  </si>
  <si>
    <t>SA</t>
  </si>
  <si>
    <t>TAS</t>
  </si>
  <si>
    <t>VIC</t>
  </si>
  <si>
    <t>WA</t>
  </si>
  <si>
    <t>QLD</t>
  </si>
  <si>
    <t>State of Purchase</t>
  </si>
  <si>
    <t>Mortgage Stamp Duty</t>
  </si>
  <si>
    <t>Property Value</t>
  </si>
  <si>
    <t>Deposit</t>
  </si>
  <si>
    <t>Cash Deductions</t>
  </si>
  <si>
    <t>Pre-Tax Cash Flow</t>
  </si>
  <si>
    <t>Non-cash Deductions</t>
  </si>
  <si>
    <t>Depreciation - Buildings</t>
  </si>
  <si>
    <t>After-tax Cash Flow</t>
  </si>
  <si>
    <t>Rent Per Week</t>
  </si>
  <si>
    <t>Cleaning</t>
  </si>
  <si>
    <t>Council Rates</t>
  </si>
  <si>
    <t>Gardening / Mowing</t>
  </si>
  <si>
    <t>Land Tax</t>
  </si>
  <si>
    <t>Legal Expenses</t>
  </si>
  <si>
    <t>Pest Control</t>
  </si>
  <si>
    <t>Bookkeeping</t>
  </si>
  <si>
    <t>Postage and Stationery</t>
  </si>
  <si>
    <t>Tax Related Expenses</t>
  </si>
  <si>
    <t>Travel and Car Expenses</t>
  </si>
  <si>
    <t>Water Charges</t>
  </si>
  <si>
    <t>Date of Purchase</t>
  </si>
  <si>
    <t>Date of Construction</t>
  </si>
  <si>
    <t>Upper</t>
  </si>
  <si>
    <t>Lower</t>
  </si>
  <si>
    <t>Fixed</t>
  </si>
  <si>
    <t>Variable</t>
  </si>
  <si>
    <t>Tax</t>
  </si>
  <si>
    <t>Nil</t>
  </si>
  <si>
    <t>Per Year</t>
  </si>
  <si>
    <t>Purchase Costs</t>
  </si>
  <si>
    <t>Loan Outstanding</t>
  </si>
  <si>
    <t>Total Claimable Deductions</t>
  </si>
  <si>
    <t>Taxable Income Reduction</t>
  </si>
  <si>
    <t>Tax Calculations</t>
  </si>
  <si>
    <t>Borrowing Costs</t>
  </si>
  <si>
    <t>Total</t>
  </si>
  <si>
    <t>Borrowing Costs - over 5 years</t>
  </si>
  <si>
    <t>Years</t>
  </si>
  <si>
    <t>Total Cash Deductions</t>
  </si>
  <si>
    <t>Total Non-cash Deductions</t>
  </si>
  <si>
    <t>Total Costs</t>
  </si>
  <si>
    <t>Income</t>
  </si>
  <si>
    <t>Expenses</t>
  </si>
  <si>
    <t>Property Expenses</t>
  </si>
  <si>
    <t>Loan Interest</t>
  </si>
  <si>
    <t>Insurance</t>
  </si>
  <si>
    <t>Maintenance</t>
  </si>
  <si>
    <t>Letting Fee</t>
  </si>
  <si>
    <t>Transfer Stamp Duty</t>
  </si>
  <si>
    <t>Capital Depreciation</t>
  </si>
  <si>
    <t>Rate</t>
  </si>
  <si>
    <t>Stamp Duty</t>
  </si>
  <si>
    <t>Legal Fees</t>
  </si>
  <si>
    <t>Dispersments</t>
  </si>
  <si>
    <t>Building Inspections</t>
  </si>
  <si>
    <t>Registration of Title</t>
  </si>
  <si>
    <t>Valuation fee</t>
  </si>
  <si>
    <t>Registration of Mortgage</t>
  </si>
  <si>
    <t>Search Fees</t>
  </si>
  <si>
    <t>GST</t>
  </si>
  <si>
    <t>Per Annum</t>
  </si>
  <si>
    <t>Total Property Expenses</t>
  </si>
  <si>
    <t>Tax Credit per Annum</t>
  </si>
  <si>
    <t>State Reference</t>
  </si>
  <si>
    <t>Loan Application Fee</t>
  </si>
  <si>
    <t>Pre Invest Salary Per Annum</t>
  </si>
  <si>
    <t>Post Invest Salary Per Annum</t>
  </si>
  <si>
    <t>Pre Invest Tax Paid Per Annum</t>
  </si>
  <si>
    <t>Post Invest Tax Paid Per Annum</t>
  </si>
  <si>
    <t>Salary A</t>
  </si>
  <si>
    <t>% Allocation Salary A</t>
  </si>
  <si>
    <t>Salary B</t>
  </si>
  <si>
    <t>% Allocation Salary B</t>
  </si>
  <si>
    <t>Loan Amount 1</t>
  </si>
  <si>
    <t>Loan Amount 2</t>
  </si>
  <si>
    <t>LVR</t>
  </si>
  <si>
    <t>Mortgage Insurance #1</t>
  </si>
  <si>
    <t>Total Cost</t>
  </si>
  <si>
    <t>Mortgage Insurance #2</t>
  </si>
  <si>
    <t>Interest Rate Loan 1</t>
  </si>
  <si>
    <t>Interest Rate Loan 2</t>
  </si>
  <si>
    <t>Performance</t>
  </si>
  <si>
    <t>IRR (5 Years)</t>
  </si>
  <si>
    <t>IRR (10 Years)</t>
  </si>
  <si>
    <t>IRR(15 Years)</t>
  </si>
  <si>
    <t>Bottom Line</t>
  </si>
  <si>
    <t>1 Yr</t>
  </si>
  <si>
    <t>2 Yrs</t>
  </si>
  <si>
    <t>3 Yrs</t>
  </si>
  <si>
    <t>4 Yrs</t>
  </si>
  <si>
    <t>5 Yrs</t>
  </si>
  <si>
    <t>6 Yrs</t>
  </si>
  <si>
    <t>7 Yrs</t>
  </si>
  <si>
    <t>8 Yrs</t>
  </si>
  <si>
    <t>9 Yrs</t>
  </si>
  <si>
    <t>10 Yrs</t>
  </si>
  <si>
    <t>11 Yrs</t>
  </si>
  <si>
    <t>12 Yrs</t>
  </si>
  <si>
    <t>13 Yrs</t>
  </si>
  <si>
    <t>14 Yrs</t>
  </si>
  <si>
    <t>15 Yrs</t>
  </si>
  <si>
    <t>Total Equity</t>
  </si>
  <si>
    <t>Available Equity (90% of value minus debt)</t>
  </si>
  <si>
    <t>Interest Loan 1</t>
  </si>
  <si>
    <t>Interest Loan 2</t>
  </si>
  <si>
    <t xml:space="preserve">Depreciation - Fittings Diminishing Value </t>
  </si>
  <si>
    <t>Net Income</t>
  </si>
  <si>
    <t>Yield</t>
  </si>
  <si>
    <t>Asking Property Value</t>
  </si>
  <si>
    <t>Year 1</t>
  </si>
  <si>
    <t>Property Management</t>
  </si>
  <si>
    <t>Cash Expenses</t>
  </si>
  <si>
    <t>Non Cash Expenses</t>
  </si>
  <si>
    <t>Rental Income</t>
  </si>
  <si>
    <t>Weeks</t>
  </si>
  <si>
    <t>Before Tax</t>
  </si>
  <si>
    <t>Property Cash Outs</t>
  </si>
  <si>
    <t>Property Cash Ins</t>
  </si>
  <si>
    <t>Sub Total</t>
  </si>
  <si>
    <t>Non Cash Deductions</t>
  </si>
  <si>
    <t>Total Property Loss (Gain)</t>
  </si>
  <si>
    <t>After Tax</t>
  </si>
  <si>
    <t>Tax Refund</t>
  </si>
  <si>
    <t>After Tax Cost</t>
  </si>
  <si>
    <t>Weekly Cost</t>
  </si>
  <si>
    <t>Tenant</t>
  </si>
  <si>
    <t>Tax Office</t>
  </si>
  <si>
    <t>You</t>
  </si>
  <si>
    <t>Owner 1 Salary</t>
  </si>
  <si>
    <t>Owner 2 Salary</t>
  </si>
  <si>
    <t>Original Net Salary</t>
  </si>
  <si>
    <t>Owner 1</t>
  </si>
  <si>
    <t>Owner 2</t>
  </si>
  <si>
    <t>Owner 2 Revised Net Salary</t>
  </si>
  <si>
    <t>Owner 1 Revised Net Salary</t>
  </si>
  <si>
    <t>Revised Income</t>
  </si>
  <si>
    <t>Initial Input</t>
  </si>
  <si>
    <t>Owner 1 Income</t>
  </si>
  <si>
    <t>Owner 2 Income</t>
  </si>
  <si>
    <t>Ownership %</t>
  </si>
  <si>
    <t>Weeks Rented Per Year</t>
  </si>
  <si>
    <t>Inflation</t>
  </si>
  <si>
    <t>Capital Growth Rate</t>
  </si>
  <si>
    <t>Vacant Days</t>
  </si>
  <si>
    <t>Interest Rate</t>
  </si>
  <si>
    <t>Days Owned</t>
  </si>
  <si>
    <t>End of Financial First Year</t>
  </si>
  <si>
    <t>Date of Sale</t>
  </si>
  <si>
    <t>Year 2</t>
  </si>
  <si>
    <t>Year</t>
  </si>
  <si>
    <t>Owned Days</t>
  </si>
  <si>
    <t>Tax Saving</t>
  </si>
  <si>
    <t>Financial Year</t>
  </si>
  <si>
    <t>Owner 1 Original</t>
  </si>
  <si>
    <t>Revised</t>
  </si>
  <si>
    <t>Owner 2 Original</t>
  </si>
  <si>
    <t>Rental Growth</t>
  </si>
  <si>
    <t>221D Tax Credit Per Week</t>
  </si>
  <si>
    <t>Medicare Levy</t>
  </si>
  <si>
    <t>Medicare Surchage</t>
  </si>
  <si>
    <t>Yes</t>
  </si>
  <si>
    <t>Medicare Surcharge</t>
  </si>
  <si>
    <t>From</t>
  </si>
  <si>
    <t>Per Week</t>
  </si>
  <si>
    <t>Property Management Fee</t>
  </si>
  <si>
    <t>Year 3</t>
  </si>
  <si>
    <t>Total Rent</t>
  </si>
  <si>
    <t>Year 4</t>
  </si>
  <si>
    <t>f</t>
  </si>
  <si>
    <t>e</t>
  </si>
  <si>
    <t>d</t>
  </si>
  <si>
    <t>'IP Calculations'!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</si>
  <si>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</si>
  <si>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</si>
  <si>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</si>
  <si>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</si>
  <si>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</si>
  <si>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</si>
  <si>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</si>
  <si>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</si>
  <si>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</si>
  <si>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</si>
  <si>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</si>
  <si>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g</t>
  </si>
  <si>
    <t>h</t>
  </si>
  <si>
    <t>c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</si>
  <si>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</si>
  <si>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</si>
  <si>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</si>
  <si>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</si>
  <si>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</si>
  <si>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</si>
  <si>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</si>
  <si>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</si>
  <si>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</si>
  <si>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Taxable income</t>
  </si>
  <si>
    <t>Tax on this income</t>
  </si>
  <si>
    <t>Owner 1 Tax Credit</t>
  </si>
  <si>
    <t>Owner 2 Tax Credit</t>
  </si>
  <si>
    <t>Capital Growth</t>
  </si>
  <si>
    <t>Total Profit for Year</t>
  </si>
  <si>
    <t>Rental Yield</t>
  </si>
  <si>
    <t>Depreciation Building</t>
  </si>
  <si>
    <t>Strata</t>
  </si>
  <si>
    <t>Initial Costings</t>
  </si>
  <si>
    <t>Letting Fee (Weeks Rent)</t>
  </si>
  <si>
    <t>Per Fortnight</t>
  </si>
  <si>
    <t>Per Month</t>
  </si>
  <si>
    <t>Per Quarter</t>
  </si>
  <si>
    <t>Wages Growth</t>
  </si>
  <si>
    <t>Year Initial Costings</t>
  </si>
  <si>
    <t>Preferred LVR</t>
  </si>
  <si>
    <t>Stamp Duty on Mortgage Insurance #1</t>
  </si>
  <si>
    <t>Stamp Duty on Mortgage Insurance #2</t>
  </si>
  <si>
    <t>Buildings Value</t>
  </si>
  <si>
    <t>Fittings Value</t>
  </si>
  <si>
    <t>Depreciation Fittings</t>
  </si>
  <si>
    <t>Cost If Sold through the Year</t>
  </si>
  <si>
    <t>Capital Gain</t>
  </si>
  <si>
    <t>Captial Costs</t>
  </si>
  <si>
    <t>Agent Comission</t>
  </si>
  <si>
    <t>Agents Comission Charge</t>
  </si>
  <si>
    <t>Taxable Capital Gain</t>
  </si>
  <si>
    <t>Owner 1 Portion</t>
  </si>
  <si>
    <t>Owner 2 Portion</t>
  </si>
  <si>
    <t>Real Capital Gain</t>
  </si>
  <si>
    <t>Total Profit</t>
  </si>
  <si>
    <t>Total Profit %</t>
  </si>
  <si>
    <t>Sales Costs</t>
  </si>
  <si>
    <t>Sales Cost</t>
  </si>
  <si>
    <t>Once Off Expenses</t>
  </si>
  <si>
    <t>Building Depreciation Added Back</t>
  </si>
  <si>
    <t>Total revised Net Salary</t>
  </si>
  <si>
    <t>Wage Growth</t>
  </si>
  <si>
    <t>Captial Growth Rate</t>
  </si>
  <si>
    <t>Leasing Fee in Weeks</t>
  </si>
  <si>
    <t>Cumulative Profit</t>
  </si>
  <si>
    <t>Cumulative Cash Flow</t>
  </si>
  <si>
    <t>Year ending</t>
  </si>
  <si>
    <t>Year Number</t>
  </si>
  <si>
    <t>Overview</t>
  </si>
  <si>
    <t>0 – $18,200</t>
  </si>
  <si>
    <t>$18,201 – $37,000</t>
  </si>
  <si>
    <t>19c for each $1 over $18,200</t>
  </si>
  <si>
    <t>$37,001 – $80,000</t>
  </si>
  <si>
    <t>$3,572 plus 32.5c for each $1 over $37,000</t>
  </si>
  <si>
    <t>$80,001 – $180,000</t>
  </si>
  <si>
    <t>$17,547 plus 37c for each $1 over $80,000</t>
  </si>
  <si>
    <t>$180,001 and over</t>
  </si>
  <si>
    <t>$54,547 plus 45c for each $1 over $180,000</t>
  </si>
  <si>
    <t>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</si>
</sst>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&quot;$&quot;#,##0"/>
    <numFmt numFmtId="166" formatCode="0.0%"/>
    <numFmt numFmtId="167" formatCode="0.0"/>
    <numFmt numFmtId="168" formatCode="0.00_ ;[Red]\-0.00\ "/>
    <numFmt numFmtId="169" formatCode="_-&quot;$&quot;* #,##0_-;\-&quot;$&quot;* #,##0_-;_-&quot;$&quot;* &quot;-&quot;??_-;_-@_-"/>
    <numFmt numFmtId="170" formatCode="_-&quot;$&quot;* #,##0_-;[Red]\-&quot;$&quot;* #,##0_-;_-&quot;$&quot;* &quot;-&quot;??_-;_-@_-"/>
    <numFmt numFmtId="171" formatCode="_-&quot;$&quot;* #,##0_-;[Red]\-&quot;$&quot;* #,##0_-;_-&quot;$&quot;* &quot;-&quot;_-;_-@_-"/>
    <numFmt numFmtId="172" formatCode="_-* #,##0.0_-;\-* #,##0.0_-;_-* &quot;-&quot;??_-;_-@_-"/>
    <numFmt numFmtId="173" formatCode="_-* #,##0_-;\-* #,##0_-;_-* &quot;-&quot;??_-;_-@_-"/>
    <numFmt numFmtId="174" formatCode="_-* #,##0_-;[Red]\-* #,##0_-;_-&quot;$&quot;* &quot;-&quot;_-;_-@_-"/>
    <numFmt numFmtId="175" formatCode="#,##0_ ;\-#,##0\ "/>
  </numFmts>
  <fonts count="2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sz val="8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i/>
      <sz val="8"/>
      <color indexed="9"/>
      <name val="Arial"/>
      <family val="2"/>
    </font>
    <font>
      <b/>
      <i/>
      <sz val="8"/>
      <color indexed="9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color rgb="FFFF0000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3FFE6"/>
        <bgColor indexed="64"/>
      </patternFill>
    </fill>
  </fills>
  <borders count="6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double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/>
      <diagonal/>
    </border>
    <border>
      <left style="thin">
        <color indexed="64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/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thin">
        <color indexed="9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thin">
        <color indexed="9"/>
      </bottom>
      <diagonal/>
    </border>
    <border>
      <left style="medium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64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thin">
        <color indexed="9"/>
      </right>
      <top style="thin">
        <color indexed="9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thin">
        <color indexed="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/>
      <right style="thin">
        <color indexed="64"/>
      </right>
      <top style="thin">
        <color indexed="9"/>
      </top>
      <bottom/>
      <diagonal/>
    </border>
    <border>
      <left/>
      <right style="thin">
        <color indexed="64"/>
      </right>
      <top style="thin">
        <color indexed="9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9"/>
      </right>
      <top style="thin">
        <color indexed="64"/>
      </top>
      <bottom style="double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medium">
        <color rgb="FFDADADA"/>
      </left>
      <right style="medium">
        <color rgb="FFDAF4C5"/>
      </right>
      <top style="medium">
        <color rgb="FFDADADA"/>
      </top>
      <bottom style="medium">
        <color rgb="FFDAF4C5"/>
      </bottom>
      <diagonal/>
    </border>
    <border>
      <left style="medium">
        <color rgb="FFDAF4C5"/>
      </left>
      <right style="medium">
        <color rgb="FFDADADA"/>
      </right>
      <top style="medium">
        <color rgb="FFDADADA"/>
      </top>
      <bottom style="medium">
        <color rgb="FFDAF4C5"/>
      </bottom>
      <diagonal/>
    </border>
    <border>
      <left style="medium">
        <color rgb="FFDADADA"/>
      </left>
      <right style="medium">
        <color rgb="FFDAF4C5"/>
      </right>
      <top style="medium">
        <color rgb="FFDAF4C5"/>
      </top>
      <bottom style="medium">
        <color rgb="FFDAF4C5"/>
      </bottom>
      <diagonal/>
    </border>
    <border>
      <left style="medium">
        <color rgb="FFDAF4C5"/>
      </left>
      <right style="medium">
        <color rgb="FFDADADA"/>
      </right>
      <top style="medium">
        <color rgb="FFDAF4C5"/>
      </top>
      <bottom style="medium">
        <color rgb="FFDAF4C5"/>
      </bottom>
      <diagonal/>
    </border>
    <border>
      <left style="medium">
        <color rgb="FFDADADA"/>
      </left>
      <right style="medium">
        <color rgb="FFDAF4C5"/>
      </right>
      <top style="medium">
        <color rgb="FFDAF4C5"/>
      </top>
      <bottom style="medium">
        <color rgb="FFDADADA"/>
      </bottom>
      <diagonal/>
    </border>
    <border>
      <left style="medium">
        <color rgb="FFDAF4C5"/>
      </left>
      <right style="medium">
        <color rgb="FFDADADA"/>
      </right>
      <top style="medium">
        <color rgb="FFDAF4C5"/>
      </top>
      <bottom style="medium">
        <color rgb="FFDADADA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4">
    <xf numFmtId="0" fontId="0" fillId="0" borderId="0" xfId="0"/>
    <xf numFmtId="0" fontId="2" fillId="0" borderId="0" xfId="0" applyFont="1" applyFill="1" applyBorder="1" applyAlignment="1">
      <alignment wrapText="1"/>
    </xf>
    <xf numFmtId="2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10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ill="1"/>
    <xf numFmtId="40" fontId="4" fillId="0" borderId="0" xfId="0" applyNumberFormat="1" applyFont="1" applyAlignment="1">
      <alignment horizontal="right"/>
    </xf>
    <xf numFmtId="40" fontId="0" fillId="0" borderId="0" xfId="0" applyNumberFormat="1"/>
    <xf numFmtId="40" fontId="3" fillId="0" borderId="0" xfId="0" applyNumberFormat="1" applyFont="1"/>
    <xf numFmtId="168" fontId="4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right" wrapText="1"/>
    </xf>
    <xf numFmtId="38" fontId="0" fillId="0" borderId="0" xfId="0" applyNumberFormat="1"/>
    <xf numFmtId="40" fontId="0" fillId="0" borderId="0" xfId="0" applyNumberFormat="1" applyAlignment="1">
      <alignment horizontal="right"/>
    </xf>
    <xf numFmtId="40" fontId="2" fillId="0" borderId="0" xfId="0" applyNumberFormat="1" applyFont="1" applyAlignment="1">
      <alignment horizontal="right"/>
    </xf>
    <xf numFmtId="38" fontId="0" fillId="0" borderId="0" xfId="0" applyNumberFormat="1" applyAlignment="1">
      <alignment horizontal="right"/>
    </xf>
    <xf numFmtId="168" fontId="3" fillId="0" borderId="0" xfId="0" applyNumberFormat="1" applyFont="1" applyAlignment="1">
      <alignment horizontal="right"/>
    </xf>
    <xf numFmtId="40" fontId="3" fillId="0" borderId="0" xfId="0" applyNumberFormat="1" applyFont="1" applyAlignment="1">
      <alignment horizontal="left"/>
    </xf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wrapText="1"/>
    </xf>
    <xf numFmtId="167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168" fontId="3" fillId="0" borderId="0" xfId="0" applyNumberFormat="1" applyFont="1" applyAlignment="1">
      <alignment horizontal="right" wrapText="1"/>
    </xf>
    <xf numFmtId="40" fontId="3" fillId="0" borderId="0" xfId="0" applyNumberFormat="1" applyFont="1" applyAlignment="1">
      <alignment horizontal="right"/>
    </xf>
    <xf numFmtId="38" fontId="2" fillId="0" borderId="0" xfId="0" applyNumberFormat="1" applyFont="1" applyAlignment="1">
      <alignment horizontal="right"/>
    </xf>
    <xf numFmtId="9" fontId="1" fillId="0" borderId="0" xfId="3"/>
    <xf numFmtId="0" fontId="1" fillId="0" borderId="0" xfId="0" applyFont="1"/>
    <xf numFmtId="0" fontId="1" fillId="0" borderId="0" xfId="0" applyFont="1" applyProtection="1">
      <protection locked="0"/>
    </xf>
    <xf numFmtId="0" fontId="1" fillId="0" borderId="0" xfId="0" applyFont="1" applyAlignment="1">
      <alignment wrapText="1"/>
    </xf>
    <xf numFmtId="169" fontId="0" fillId="0" borderId="0" xfId="2" applyNumberFormat="1" applyFont="1"/>
    <xf numFmtId="169" fontId="0" fillId="0" borderId="1" xfId="2" applyNumberFormat="1" applyFont="1" applyBorder="1"/>
    <xf numFmtId="166" fontId="0" fillId="0" borderId="0" xfId="3" applyNumberFormat="1" applyFont="1"/>
    <xf numFmtId="0" fontId="0" fillId="0" borderId="2" xfId="0" applyBorder="1"/>
    <xf numFmtId="169" fontId="0" fillId="0" borderId="2" xfId="2" applyNumberFormat="1" applyFont="1" applyBorder="1"/>
    <xf numFmtId="0" fontId="3" fillId="0" borderId="2" xfId="0" applyFont="1" applyBorder="1"/>
    <xf numFmtId="38" fontId="2" fillId="0" borderId="2" xfId="0" applyNumberFormat="1" applyFont="1" applyBorder="1"/>
    <xf numFmtId="10" fontId="2" fillId="0" borderId="2" xfId="3" applyNumberFormat="1" applyFont="1" applyBorder="1"/>
    <xf numFmtId="38" fontId="0" fillId="0" borderId="2" xfId="0" applyNumberFormat="1" applyBorder="1"/>
    <xf numFmtId="0" fontId="1" fillId="0" borderId="2" xfId="0" applyFont="1" applyBorder="1"/>
    <xf numFmtId="169" fontId="1" fillId="0" borderId="2" xfId="0" applyNumberFormat="1" applyFont="1" applyBorder="1"/>
    <xf numFmtId="171" fontId="1" fillId="0" borderId="2" xfId="0" applyNumberFormat="1" applyFont="1" applyBorder="1"/>
    <xf numFmtId="173" fontId="0" fillId="0" borderId="0" xfId="1" applyNumberFormat="1" applyFont="1"/>
    <xf numFmtId="0" fontId="0" fillId="0" borderId="0" xfId="0" applyNumberFormat="1" applyFill="1" applyBorder="1" applyAlignment="1">
      <alignment horizontal="left"/>
    </xf>
    <xf numFmtId="0" fontId="0" fillId="0" borderId="0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171" fontId="1" fillId="0" borderId="3" xfId="0" applyNumberFormat="1" applyFont="1" applyBorder="1"/>
    <xf numFmtId="0" fontId="0" fillId="0" borderId="4" xfId="0" applyBorder="1"/>
    <xf numFmtId="169" fontId="3" fillId="0" borderId="5" xfId="2" applyNumberFormat="1" applyFont="1" applyBorder="1"/>
    <xf numFmtId="0" fontId="0" fillId="0" borderId="0" xfId="0" applyNumberFormat="1" applyBorder="1" applyAlignment="1">
      <alignment horizontal="left"/>
    </xf>
    <xf numFmtId="38" fontId="0" fillId="0" borderId="0" xfId="0" applyNumberFormat="1" applyFill="1"/>
    <xf numFmtId="0" fontId="2" fillId="0" borderId="0" xfId="0" applyFont="1" applyAlignment="1">
      <alignment horizontal="left"/>
    </xf>
    <xf numFmtId="173" fontId="0" fillId="0" borderId="2" xfId="0" applyNumberFormat="1" applyBorder="1"/>
    <xf numFmtId="0" fontId="2" fillId="0" borderId="2" xfId="0" applyFont="1" applyBorder="1"/>
    <xf numFmtId="14" fontId="10" fillId="0" borderId="0" xfId="0" applyNumberFormat="1" applyFont="1"/>
    <xf numFmtId="173" fontId="0" fillId="0" borderId="2" xfId="1" applyNumberFormat="1" applyFont="1" applyBorder="1"/>
    <xf numFmtId="168" fontId="3" fillId="0" borderId="0" xfId="0" applyNumberFormat="1" applyFont="1" applyFill="1"/>
    <xf numFmtId="169" fontId="0" fillId="0" borderId="4" xfId="2" applyNumberFormat="1" applyFont="1" applyBorder="1"/>
    <xf numFmtId="0" fontId="0" fillId="0" borderId="6" xfId="0" applyBorder="1"/>
    <xf numFmtId="0" fontId="3" fillId="0" borderId="3" xfId="0" applyFont="1" applyBorder="1"/>
    <xf numFmtId="0" fontId="3" fillId="3" borderId="7" xfId="0" applyFont="1" applyFill="1" applyBorder="1"/>
    <xf numFmtId="169" fontId="0" fillId="3" borderId="8" xfId="2" applyNumberFormat="1" applyFont="1" applyFill="1" applyBorder="1"/>
    <xf numFmtId="0" fontId="0" fillId="0" borderId="9" xfId="0" applyBorder="1"/>
    <xf numFmtId="0" fontId="0" fillId="0" borderId="3" xfId="0" applyBorder="1"/>
    <xf numFmtId="0" fontId="0" fillId="3" borderId="8" xfId="0" applyFill="1" applyBorder="1"/>
    <xf numFmtId="169" fontId="3" fillId="3" borderId="7" xfId="2" applyNumberFormat="1" applyFont="1" applyFill="1" applyBorder="1"/>
    <xf numFmtId="171" fontId="0" fillId="3" borderId="8" xfId="2" applyNumberFormat="1" applyFont="1" applyFill="1" applyBorder="1"/>
    <xf numFmtId="171" fontId="3" fillId="3" borderId="8" xfId="0" applyNumberFormat="1" applyFont="1" applyFill="1" applyBorder="1"/>
    <xf numFmtId="169" fontId="0" fillId="0" borderId="10" xfId="2" applyNumberFormat="1" applyFont="1" applyBorder="1"/>
    <xf numFmtId="0" fontId="0" fillId="0" borderId="10" xfId="0" applyBorder="1"/>
    <xf numFmtId="0" fontId="0" fillId="0" borderId="12" xfId="0" applyBorder="1"/>
    <xf numFmtId="170" fontId="0" fillId="0" borderId="13" xfId="2" applyNumberFormat="1" applyFont="1" applyBorder="1"/>
    <xf numFmtId="0" fontId="0" fillId="0" borderId="14" xfId="0" applyBorder="1"/>
    <xf numFmtId="170" fontId="0" fillId="0" borderId="15" xfId="2" applyNumberFormat="1" applyFont="1" applyBorder="1"/>
    <xf numFmtId="170" fontId="0" fillId="0" borderId="17" xfId="2" applyNumberFormat="1" applyFont="1" applyBorder="1"/>
    <xf numFmtId="0" fontId="0" fillId="0" borderId="18" xfId="0" applyBorder="1"/>
    <xf numFmtId="170" fontId="0" fillId="0" borderId="8" xfId="2" applyNumberFormat="1" applyFont="1" applyBorder="1"/>
    <xf numFmtId="170" fontId="0" fillId="0" borderId="19" xfId="2" applyNumberFormat="1" applyFont="1" applyBorder="1"/>
    <xf numFmtId="38" fontId="2" fillId="0" borderId="12" xfId="0" applyNumberFormat="1" applyFont="1" applyBorder="1"/>
    <xf numFmtId="169" fontId="2" fillId="0" borderId="13" xfId="2" applyNumberFormat="1" applyFont="1" applyBorder="1"/>
    <xf numFmtId="38" fontId="2" fillId="0" borderId="14" xfId="0" applyNumberFormat="1" applyFont="1" applyBorder="1" applyAlignment="1">
      <alignment horizontal="left"/>
    </xf>
    <xf numFmtId="38" fontId="2" fillId="0" borderId="18" xfId="0" applyNumberFormat="1" applyFont="1" applyBorder="1"/>
    <xf numFmtId="169" fontId="2" fillId="0" borderId="8" xfId="2" applyNumberFormat="1" applyFont="1" applyBorder="1"/>
    <xf numFmtId="171" fontId="0" fillId="0" borderId="12" xfId="0" applyNumberFormat="1" applyBorder="1"/>
    <xf numFmtId="171" fontId="0" fillId="0" borderId="13" xfId="0" applyNumberFormat="1" applyBorder="1"/>
    <xf numFmtId="171" fontId="0" fillId="0" borderId="14" xfId="0" applyNumberFormat="1" applyBorder="1"/>
    <xf numFmtId="171" fontId="0" fillId="0" borderId="16" xfId="0" applyNumberFormat="1" applyBorder="1"/>
    <xf numFmtId="171" fontId="0" fillId="0" borderId="15" xfId="2" applyNumberFormat="1" applyFont="1" applyBorder="1"/>
    <xf numFmtId="171" fontId="0" fillId="0" borderId="19" xfId="0" applyNumberFormat="1" applyBorder="1"/>
    <xf numFmtId="171" fontId="0" fillId="0" borderId="18" xfId="0" applyNumberFormat="1" applyBorder="1"/>
    <xf numFmtId="171" fontId="0" fillId="0" borderId="8" xfId="2" applyNumberFormat="1" applyFont="1" applyBorder="1"/>
    <xf numFmtId="171" fontId="3" fillId="3" borderId="7" xfId="0" applyNumberFormat="1" applyFont="1" applyFill="1" applyBorder="1"/>
    <xf numFmtId="169" fontId="0" fillId="0" borderId="12" xfId="2" applyNumberFormat="1" applyFont="1" applyBorder="1"/>
    <xf numFmtId="171" fontId="0" fillId="0" borderId="13" xfId="2" applyNumberFormat="1" applyFont="1" applyBorder="1"/>
    <xf numFmtId="169" fontId="0" fillId="0" borderId="14" xfId="2" applyNumberFormat="1" applyFont="1" applyBorder="1"/>
    <xf numFmtId="171" fontId="0" fillId="0" borderId="19" xfId="2" applyNumberFormat="1" applyFont="1" applyBorder="1"/>
    <xf numFmtId="169" fontId="0" fillId="0" borderId="20" xfId="2" applyNumberFormat="1" applyFont="1" applyBorder="1"/>
    <xf numFmtId="171" fontId="0" fillId="0" borderId="21" xfId="2" applyNumberFormat="1" applyFont="1" applyBorder="1"/>
    <xf numFmtId="0" fontId="3" fillId="0" borderId="18" xfId="0" applyFont="1" applyBorder="1"/>
    <xf numFmtId="171" fontId="3" fillId="0" borderId="8" xfId="0" applyNumberFormat="1" applyFont="1" applyBorder="1"/>
    <xf numFmtId="171" fontId="0" fillId="3" borderId="8" xfId="0" applyNumberFormat="1" applyFill="1" applyBorder="1"/>
    <xf numFmtId="171" fontId="0" fillId="0" borderId="15" xfId="0" applyNumberFormat="1" applyBorder="1"/>
    <xf numFmtId="171" fontId="8" fillId="0" borderId="14" xfId="0" applyNumberFormat="1" applyFont="1" applyBorder="1"/>
    <xf numFmtId="171" fontId="8" fillId="0" borderId="15" xfId="0" applyNumberFormat="1" applyFont="1" applyBorder="1"/>
    <xf numFmtId="171" fontId="8" fillId="0" borderId="18" xfId="0" applyNumberFormat="1" applyFont="1" applyBorder="1"/>
    <xf numFmtId="171" fontId="8" fillId="0" borderId="16" xfId="2" applyNumberFormat="1" applyFont="1" applyBorder="1"/>
    <xf numFmtId="0" fontId="0" fillId="0" borderId="20" xfId="0" applyBorder="1"/>
    <xf numFmtId="0" fontId="8" fillId="0" borderId="3" xfId="0" applyFont="1" applyBorder="1"/>
    <xf numFmtId="0" fontId="11" fillId="0" borderId="23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169" fontId="3" fillId="0" borderId="0" xfId="2" applyNumberFormat="1" applyFont="1" applyAlignment="1">
      <alignment horizontal="center"/>
    </xf>
    <xf numFmtId="169" fontId="3" fillId="0" borderId="0" xfId="2" applyNumberFormat="1" applyFont="1" applyAlignment="1">
      <alignment horizontal="left"/>
    </xf>
    <xf numFmtId="169" fontId="0" fillId="0" borderId="0" xfId="2" applyNumberFormat="1" applyFont="1" applyAlignment="1">
      <alignment horizontal="center"/>
    </xf>
    <xf numFmtId="169" fontId="0" fillId="0" borderId="0" xfId="2" applyNumberFormat="1" applyFont="1" applyAlignment="1">
      <alignment horizontal="right"/>
    </xf>
    <xf numFmtId="169" fontId="2" fillId="0" borderId="0" xfId="2" applyNumberFormat="1" applyFont="1" applyAlignment="1">
      <alignment horizontal="left"/>
    </xf>
    <xf numFmtId="0" fontId="0" fillId="0" borderId="0" xfId="0" applyNumberFormat="1"/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horizontal="right"/>
    </xf>
    <xf numFmtId="0" fontId="12" fillId="0" borderId="2" xfId="0" applyFont="1" applyBorder="1" applyAlignment="1">
      <alignment horizontal="left"/>
    </xf>
    <xf numFmtId="168" fontId="9" fillId="0" borderId="2" xfId="0" applyNumberFormat="1" applyFont="1" applyBorder="1" applyAlignment="1">
      <alignment horizontal="left"/>
    </xf>
    <xf numFmtId="168" fontId="9" fillId="0" borderId="2" xfId="0" applyNumberFormat="1" applyFont="1" applyBorder="1" applyAlignment="1">
      <alignment horizontal="left" wrapText="1"/>
    </xf>
    <xf numFmtId="168" fontId="12" fillId="0" borderId="2" xfId="0" applyNumberFormat="1" applyFont="1" applyBorder="1" applyAlignment="1">
      <alignment horizontal="left"/>
    </xf>
    <xf numFmtId="40" fontId="9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right"/>
    </xf>
    <xf numFmtId="165" fontId="3" fillId="3" borderId="2" xfId="0" applyNumberFormat="1" applyFont="1" applyFill="1" applyBorder="1"/>
    <xf numFmtId="0" fontId="0" fillId="0" borderId="2" xfId="0" applyBorder="1" applyAlignment="1">
      <alignment horizontal="right"/>
    </xf>
    <xf numFmtId="38" fontId="0" fillId="2" borderId="2" xfId="0" applyNumberFormat="1" applyFill="1" applyBorder="1"/>
    <xf numFmtId="38" fontId="0" fillId="0" borderId="2" xfId="0" applyNumberFormat="1" applyBorder="1" applyAlignment="1">
      <alignment horizontal="right"/>
    </xf>
    <xf numFmtId="40" fontId="0" fillId="0" borderId="2" xfId="0" applyNumberFormat="1" applyBorder="1"/>
    <xf numFmtId="165" fontId="0" fillId="0" borderId="2" xfId="0" applyNumberFormat="1" applyBorder="1"/>
    <xf numFmtId="173" fontId="3" fillId="3" borderId="2" xfId="1" applyNumberFormat="1" applyFont="1" applyFill="1" applyBorder="1"/>
    <xf numFmtId="0" fontId="3" fillId="0" borderId="2" xfId="0" applyFon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0" fontId="4" fillId="0" borderId="2" xfId="0" applyFont="1" applyBorder="1" applyAlignment="1">
      <alignment horizontal="right"/>
    </xf>
    <xf numFmtId="10" fontId="0" fillId="0" borderId="2" xfId="0" applyNumberFormat="1" applyBorder="1"/>
    <xf numFmtId="15" fontId="2" fillId="2" borderId="2" xfId="0" applyNumberFormat="1" applyFont="1" applyFill="1" applyBorder="1" applyAlignment="1" applyProtection="1">
      <alignment horizontal="center"/>
      <protection locked="0"/>
    </xf>
    <xf numFmtId="165" fontId="0" fillId="0" borderId="2" xfId="0" applyNumberFormat="1" applyFill="1" applyBorder="1" applyAlignment="1">
      <alignment horizontal="right"/>
    </xf>
    <xf numFmtId="9" fontId="0" fillId="2" borderId="2" xfId="3" applyFont="1" applyFill="1" applyBorder="1" applyAlignment="1">
      <alignment horizontal="right"/>
    </xf>
    <xf numFmtId="9" fontId="0" fillId="0" borderId="2" xfId="3" applyFont="1" applyBorder="1"/>
    <xf numFmtId="165" fontId="0" fillId="2" borderId="2" xfId="0" applyNumberFormat="1" applyFill="1" applyBorder="1"/>
    <xf numFmtId="9" fontId="0" fillId="0" borderId="2" xfId="0" applyNumberFormat="1" applyBorder="1"/>
    <xf numFmtId="10" fontId="2" fillId="2" borderId="2" xfId="0" applyNumberFormat="1" applyFont="1" applyFill="1" applyBorder="1"/>
    <xf numFmtId="0" fontId="2" fillId="0" borderId="25" xfId="0" applyFont="1" applyBorder="1" applyAlignment="1">
      <alignment horizontal="right"/>
    </xf>
    <xf numFmtId="0" fontId="0" fillId="0" borderId="26" xfId="0" applyBorder="1"/>
    <xf numFmtId="0" fontId="3" fillId="0" borderId="26" xfId="0" applyFont="1" applyBorder="1" applyAlignment="1">
      <alignment horizontal="left"/>
    </xf>
    <xf numFmtId="0" fontId="3" fillId="0" borderId="26" xfId="0" applyFont="1" applyBorder="1"/>
    <xf numFmtId="0" fontId="3" fillId="0" borderId="27" xfId="0" applyFont="1" applyBorder="1" applyAlignment="1">
      <alignment horizontal="center"/>
    </xf>
    <xf numFmtId="0" fontId="2" fillId="0" borderId="14" xfId="0" applyFont="1" applyBorder="1" applyAlignment="1">
      <alignment horizontal="right"/>
    </xf>
    <xf numFmtId="38" fontId="0" fillId="2" borderId="15" xfId="0" applyNumberFormat="1" applyFill="1" applyBorder="1"/>
    <xf numFmtId="38" fontId="0" fillId="0" borderId="15" xfId="0" applyNumberFormat="1" applyBorder="1"/>
    <xf numFmtId="0" fontId="0" fillId="2" borderId="15" xfId="0" applyFill="1" applyBorder="1"/>
    <xf numFmtId="0" fontId="0" fillId="0" borderId="15" xfId="0" applyBorder="1"/>
    <xf numFmtId="0" fontId="0" fillId="0" borderId="24" xfId="0" applyBorder="1"/>
    <xf numFmtId="0" fontId="3" fillId="0" borderId="24" xfId="0" applyFont="1" applyBorder="1" applyAlignment="1">
      <alignment horizontal="right"/>
    </xf>
    <xf numFmtId="38" fontId="0" fillId="0" borderId="24" xfId="0" applyNumberFormat="1" applyBorder="1"/>
    <xf numFmtId="38" fontId="3" fillId="0" borderId="24" xfId="0" applyNumberFormat="1" applyFont="1" applyBorder="1" applyAlignment="1">
      <alignment horizontal="right"/>
    </xf>
    <xf numFmtId="38" fontId="0" fillId="0" borderId="16" xfId="0" applyNumberFormat="1" applyBorder="1"/>
    <xf numFmtId="0" fontId="0" fillId="0" borderId="25" xfId="0" applyBorder="1"/>
    <xf numFmtId="0" fontId="0" fillId="0" borderId="27" xfId="0" applyBorder="1"/>
    <xf numFmtId="0" fontId="4" fillId="0" borderId="24" xfId="0" applyFont="1" applyBorder="1" applyAlignment="1">
      <alignment horizontal="right"/>
    </xf>
    <xf numFmtId="0" fontId="2" fillId="0" borderId="6" xfId="0" applyFont="1" applyBorder="1"/>
    <xf numFmtId="0" fontId="2" fillId="0" borderId="3" xfId="0" applyFont="1" applyBorder="1" applyAlignment="1">
      <alignment horizontal="right"/>
    </xf>
    <xf numFmtId="14" fontId="0" fillId="2" borderId="3" xfId="0" applyNumberFormat="1" applyFill="1" applyBorder="1"/>
    <xf numFmtId="173" fontId="2" fillId="0" borderId="2" xfId="1" applyNumberFormat="1" applyFont="1" applyFill="1" applyBorder="1"/>
    <xf numFmtId="0" fontId="2" fillId="0" borderId="9" xfId="0" applyFont="1" applyBorder="1"/>
    <xf numFmtId="0" fontId="0" fillId="0" borderId="28" xfId="0" applyBorder="1"/>
    <xf numFmtId="0" fontId="4" fillId="0" borderId="9" xfId="0" applyFont="1" applyBorder="1" applyAlignment="1">
      <alignment horizontal="right"/>
    </xf>
    <xf numFmtId="0" fontId="4" fillId="0" borderId="29" xfId="0" applyFont="1" applyBorder="1" applyAlignment="1">
      <alignment horizontal="right"/>
    </xf>
    <xf numFmtId="169" fontId="0" fillId="2" borderId="0" xfId="2" applyNumberFormat="1" applyFont="1" applyFill="1" applyBorder="1"/>
    <xf numFmtId="0" fontId="0" fillId="2" borderId="30" xfId="0" applyFill="1" applyBorder="1"/>
    <xf numFmtId="166" fontId="0" fillId="0" borderId="15" xfId="0" applyNumberFormat="1" applyFill="1" applyBorder="1"/>
    <xf numFmtId="169" fontId="0" fillId="0" borderId="15" xfId="2" applyNumberFormat="1" applyFont="1" applyFill="1" applyBorder="1"/>
    <xf numFmtId="169" fontId="0" fillId="0" borderId="16" xfId="2" applyNumberFormat="1" applyFont="1" applyFill="1" applyBorder="1"/>
    <xf numFmtId="166" fontId="0" fillId="0" borderId="2" xfId="3" applyNumberFormat="1" applyFont="1" applyBorder="1"/>
    <xf numFmtId="9" fontId="0" fillId="2" borderId="3" xfId="0" applyNumberFormat="1" applyFill="1" applyBorder="1"/>
    <xf numFmtId="10" fontId="0" fillId="0" borderId="0" xfId="3" applyNumberFormat="1" applyFont="1" applyAlignment="1">
      <alignment horizontal="center"/>
    </xf>
    <xf numFmtId="169" fontId="0" fillId="0" borderId="3" xfId="2" applyNumberFormat="1" applyFont="1" applyBorder="1"/>
    <xf numFmtId="0" fontId="0" fillId="0" borderId="35" xfId="0" applyBorder="1"/>
    <xf numFmtId="169" fontId="0" fillId="4" borderId="2" xfId="2" applyNumberFormat="1" applyFont="1" applyFill="1" applyBorder="1"/>
    <xf numFmtId="169" fontId="0" fillId="2" borderId="3" xfId="2" applyNumberFormat="1" applyFont="1" applyFill="1" applyBorder="1"/>
    <xf numFmtId="10" fontId="0" fillId="0" borderId="2" xfId="3" applyNumberFormat="1" applyFont="1" applyBorder="1"/>
    <xf numFmtId="170" fontId="15" fillId="0" borderId="0" xfId="2" applyNumberFormat="1" applyFont="1"/>
    <xf numFmtId="170" fontId="0" fillId="0" borderId="0" xfId="2" applyNumberFormat="1" applyFont="1"/>
    <xf numFmtId="0" fontId="5" fillId="0" borderId="2" xfId="0" applyFont="1" applyBorder="1" applyAlignment="1">
      <alignment horizontal="left"/>
    </xf>
    <xf numFmtId="173" fontId="2" fillId="0" borderId="6" xfId="1" applyNumberFormat="1" applyFont="1" applyFill="1" applyBorder="1"/>
    <xf numFmtId="0" fontId="0" fillId="0" borderId="36" xfId="0" applyBorder="1"/>
    <xf numFmtId="0" fontId="2" fillId="0" borderId="4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38" fontId="0" fillId="0" borderId="10" xfId="0" applyNumberFormat="1" applyBorder="1"/>
    <xf numFmtId="38" fontId="3" fillId="0" borderId="10" xfId="0" applyNumberFormat="1" applyFont="1" applyBorder="1" applyAlignment="1">
      <alignment horizontal="right"/>
    </xf>
    <xf numFmtId="38" fontId="0" fillId="0" borderId="37" xfId="0" applyNumberFormat="1" applyBorder="1"/>
    <xf numFmtId="0" fontId="0" fillId="0" borderId="40" xfId="0" applyBorder="1"/>
    <xf numFmtId="0" fontId="0" fillId="0" borderId="42" xfId="0" applyBorder="1"/>
    <xf numFmtId="38" fontId="2" fillId="0" borderId="3" xfId="0" applyNumberFormat="1" applyFont="1" applyBorder="1"/>
    <xf numFmtId="10" fontId="2" fillId="0" borderId="3" xfId="3" applyNumberFormat="1" applyFont="1" applyBorder="1"/>
    <xf numFmtId="170" fontId="5" fillId="0" borderId="6" xfId="0" applyNumberFormat="1" applyFont="1" applyBorder="1" applyAlignment="1"/>
    <xf numFmtId="10" fontId="5" fillId="0" borderId="6" xfId="3" applyNumberFormat="1" applyFont="1" applyBorder="1" applyAlignment="1">
      <alignment horizontal="right"/>
    </xf>
    <xf numFmtId="169" fontId="1" fillId="0" borderId="34" xfId="2" applyNumberFormat="1" applyFont="1" applyBorder="1"/>
    <xf numFmtId="10" fontId="0" fillId="6" borderId="2" xfId="0" applyNumberFormat="1" applyFill="1" applyBorder="1"/>
    <xf numFmtId="0" fontId="1" fillId="0" borderId="2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1" fillId="0" borderId="3" xfId="0" applyFont="1" applyBorder="1" applyAlignment="1">
      <alignment horizontal="right"/>
    </xf>
    <xf numFmtId="10" fontId="0" fillId="6" borderId="3" xfId="0" applyNumberFormat="1" applyFill="1" applyBorder="1"/>
    <xf numFmtId="0" fontId="0" fillId="6" borderId="3" xfId="0" applyNumberFormat="1" applyFill="1" applyBorder="1"/>
    <xf numFmtId="9" fontId="0" fillId="6" borderId="2" xfId="0" applyNumberFormat="1" applyFill="1" applyBorder="1"/>
    <xf numFmtId="169" fontId="0" fillId="0" borderId="31" xfId="2" applyNumberFormat="1" applyFont="1" applyFill="1" applyBorder="1"/>
    <xf numFmtId="0" fontId="0" fillId="0" borderId="32" xfId="0" applyFill="1" applyBorder="1"/>
    <xf numFmtId="10" fontId="2" fillId="2" borderId="6" xfId="0" applyNumberFormat="1" applyFont="1" applyFill="1" applyBorder="1"/>
    <xf numFmtId="0" fontId="0" fillId="0" borderId="43" xfId="0" applyBorder="1"/>
    <xf numFmtId="0" fontId="0" fillId="0" borderId="44" xfId="0" applyBorder="1" applyAlignment="1">
      <alignment horizontal="right"/>
    </xf>
    <xf numFmtId="0" fontId="0" fillId="0" borderId="45" xfId="0" applyBorder="1" applyAlignment="1">
      <alignment horizontal="right"/>
    </xf>
    <xf numFmtId="0" fontId="0" fillId="0" borderId="46" xfId="0" applyBorder="1"/>
    <xf numFmtId="0" fontId="0" fillId="0" borderId="47" xfId="0" applyBorder="1" applyAlignment="1">
      <alignment horizontal="right"/>
    </xf>
    <xf numFmtId="169" fontId="0" fillId="0" borderId="47" xfId="2" applyNumberFormat="1" applyFont="1" applyBorder="1"/>
    <xf numFmtId="166" fontId="0" fillId="0" borderId="47" xfId="3" applyNumberFormat="1" applyFont="1" applyBorder="1"/>
    <xf numFmtId="10" fontId="0" fillId="0" borderId="47" xfId="0" applyNumberFormat="1" applyBorder="1"/>
    <xf numFmtId="0" fontId="2" fillId="0" borderId="46" xfId="0" applyFont="1" applyBorder="1"/>
    <xf numFmtId="173" fontId="2" fillId="0" borderId="47" xfId="1" applyNumberFormat="1" applyFont="1" applyFill="1" applyBorder="1"/>
    <xf numFmtId="0" fontId="2" fillId="0" borderId="46" xfId="0" applyFont="1" applyBorder="1" applyAlignment="1">
      <alignment horizontal="left"/>
    </xf>
    <xf numFmtId="9" fontId="0" fillId="0" borderId="47" xfId="0" applyNumberFormat="1" applyBorder="1"/>
    <xf numFmtId="10" fontId="0" fillId="0" borderId="47" xfId="3" applyNumberFormat="1" applyFont="1" applyBorder="1"/>
    <xf numFmtId="0" fontId="0" fillId="4" borderId="46" xfId="0" applyFill="1" applyBorder="1"/>
    <xf numFmtId="169" fontId="0" fillId="4" borderId="47" xfId="2" applyNumberFormat="1" applyFont="1" applyFill="1" applyBorder="1"/>
    <xf numFmtId="0" fontId="0" fillId="5" borderId="48" xfId="0" applyFill="1" applyBorder="1"/>
    <xf numFmtId="169" fontId="0" fillId="5" borderId="49" xfId="2" applyNumberFormat="1" applyFont="1" applyFill="1" applyBorder="1"/>
    <xf numFmtId="169" fontId="0" fillId="5" borderId="50" xfId="2" applyNumberFormat="1" applyFont="1" applyFill="1" applyBorder="1"/>
    <xf numFmtId="10" fontId="0" fillId="0" borderId="2" xfId="0" applyNumberFormat="1" applyFill="1" applyBorder="1"/>
    <xf numFmtId="10" fontId="0" fillId="0" borderId="47" xfId="0" applyNumberFormat="1" applyFill="1" applyBorder="1"/>
    <xf numFmtId="10" fontId="2" fillId="0" borderId="2" xfId="0" applyNumberFormat="1" applyFont="1" applyFill="1" applyBorder="1"/>
    <xf numFmtId="10" fontId="2" fillId="0" borderId="47" xfId="0" applyNumberFormat="1" applyFont="1" applyFill="1" applyBorder="1"/>
    <xf numFmtId="172" fontId="2" fillId="0" borderId="2" xfId="1" applyNumberFormat="1" applyFont="1" applyFill="1" applyBorder="1"/>
    <xf numFmtId="172" fontId="2" fillId="0" borderId="47" xfId="1" applyNumberFormat="1" applyFont="1" applyFill="1" applyBorder="1"/>
    <xf numFmtId="10" fontId="3" fillId="0" borderId="2" xfId="0" applyNumberFormat="1" applyFont="1" applyFill="1" applyBorder="1"/>
    <xf numFmtId="10" fontId="3" fillId="0" borderId="47" xfId="0" applyNumberFormat="1" applyFont="1" applyFill="1" applyBorder="1"/>
    <xf numFmtId="10" fontId="0" fillId="0" borderId="3" xfId="0" applyNumberFormat="1" applyFill="1" applyBorder="1"/>
    <xf numFmtId="168" fontId="4" fillId="0" borderId="2" xfId="0" applyNumberFormat="1" applyFont="1" applyBorder="1" applyAlignment="1">
      <alignment horizontal="left"/>
    </xf>
    <xf numFmtId="0" fontId="17" fillId="0" borderId="2" xfId="0" applyFont="1" applyBorder="1"/>
    <xf numFmtId="175" fontId="2" fillId="0" borderId="19" xfId="2" applyNumberFormat="1" applyFont="1" applyBorder="1"/>
    <xf numFmtId="14" fontId="0" fillId="0" borderId="2" xfId="0" applyNumberFormat="1" applyFill="1" applyBorder="1"/>
    <xf numFmtId="0" fontId="3" fillId="7" borderId="41" xfId="0" applyFont="1" applyFill="1" applyBorder="1"/>
    <xf numFmtId="171" fontId="3" fillId="7" borderId="37" xfId="0" applyNumberFormat="1" applyFont="1" applyFill="1" applyBorder="1"/>
    <xf numFmtId="0" fontId="3" fillId="8" borderId="26" xfId="0" applyFont="1" applyFill="1" applyBorder="1" applyAlignment="1">
      <alignment horizontal="right"/>
    </xf>
    <xf numFmtId="10" fontId="3" fillId="3" borderId="2" xfId="0" applyNumberFormat="1" applyFont="1" applyFill="1" applyBorder="1"/>
    <xf numFmtId="0" fontId="0" fillId="0" borderId="20" xfId="2" applyNumberFormat="1" applyFont="1" applyBorder="1"/>
    <xf numFmtId="14" fontId="18" fillId="0" borderId="18" xfId="2" applyNumberFormat="1" applyFont="1" applyBorder="1"/>
    <xf numFmtId="0" fontId="0" fillId="0" borderId="51" xfId="2" applyNumberFormat="1" applyFont="1" applyBorder="1"/>
    <xf numFmtId="14" fontId="18" fillId="0" borderId="52" xfId="2" applyNumberFormat="1" applyFont="1" applyBorder="1"/>
    <xf numFmtId="0" fontId="9" fillId="0" borderId="2" xfId="0" applyFont="1" applyBorder="1" applyAlignment="1"/>
    <xf numFmtId="173" fontId="9" fillId="0" borderId="2" xfId="1" applyNumberFormat="1" applyFont="1" applyBorder="1" applyAlignment="1"/>
    <xf numFmtId="10" fontId="9" fillId="0" borderId="2" xfId="0" applyNumberFormat="1" applyFont="1" applyBorder="1" applyAlignment="1"/>
    <xf numFmtId="174" fontId="9" fillId="0" borderId="2" xfId="1" applyNumberFormat="1" applyFont="1" applyBorder="1" applyAlignment="1"/>
    <xf numFmtId="169" fontId="12" fillId="0" borderId="2" xfId="2" applyNumberFormat="1" applyFont="1" applyBorder="1" applyAlignment="1"/>
    <xf numFmtId="170" fontId="9" fillId="0" borderId="2" xfId="2" applyNumberFormat="1" applyFont="1" applyBorder="1" applyAlignment="1"/>
    <xf numFmtId="10" fontId="12" fillId="0" borderId="2" xfId="3" applyNumberFormat="1" applyFont="1" applyBorder="1" applyAlignment="1"/>
    <xf numFmtId="170" fontId="9" fillId="0" borderId="24" xfId="2" applyNumberFormat="1" applyFont="1" applyBorder="1" applyAlignment="1"/>
    <xf numFmtId="170" fontId="9" fillId="0" borderId="4" xfId="2" applyNumberFormat="1" applyFont="1" applyBorder="1" applyAlignment="1"/>
    <xf numFmtId="170" fontId="9" fillId="0" borderId="3" xfId="2" applyNumberFormat="1" applyFont="1" applyBorder="1" applyAlignment="1"/>
    <xf numFmtId="170" fontId="12" fillId="0" borderId="5" xfId="2" applyNumberFormat="1" applyFont="1" applyBorder="1" applyAlignment="1"/>
    <xf numFmtId="170" fontId="12" fillId="0" borderId="10" xfId="2" applyNumberFormat="1" applyFont="1" applyBorder="1" applyAlignment="1"/>
    <xf numFmtId="0" fontId="9" fillId="0" borderId="4" xfId="0" applyFont="1" applyBorder="1" applyAlignment="1"/>
    <xf numFmtId="170" fontId="12" fillId="0" borderId="2" xfId="0" applyNumberFormat="1" applyFont="1" applyBorder="1" applyAlignment="1"/>
    <xf numFmtId="9" fontId="9" fillId="0" borderId="2" xfId="0" applyNumberFormat="1" applyFont="1" applyBorder="1" applyAlignment="1"/>
    <xf numFmtId="3" fontId="16" fillId="0" borderId="2" xfId="0" applyNumberFormat="1" applyFont="1" applyBorder="1" applyAlignment="1" applyProtection="1"/>
    <xf numFmtId="0" fontId="16" fillId="0" borderId="2" xfId="0" applyFont="1" applyBorder="1" applyAlignment="1"/>
    <xf numFmtId="3" fontId="13" fillId="0" borderId="2" xfId="0" applyNumberFormat="1" applyFont="1" applyBorder="1" applyAlignment="1" applyProtection="1"/>
    <xf numFmtId="38" fontId="14" fillId="0" borderId="2" xfId="0" applyNumberFormat="1" applyFont="1" applyBorder="1" applyAlignment="1"/>
    <xf numFmtId="0" fontId="13" fillId="0" borderId="2" xfId="0" applyFont="1" applyBorder="1" applyAlignment="1"/>
    <xf numFmtId="0" fontId="19" fillId="0" borderId="24" xfId="0" applyFont="1" applyBorder="1"/>
    <xf numFmtId="0" fontId="9" fillId="0" borderId="4" xfId="0" applyFont="1" applyBorder="1" applyAlignment="1">
      <alignment horizontal="left"/>
    </xf>
    <xf numFmtId="0" fontId="0" fillId="0" borderId="53" xfId="2" applyNumberFormat="1" applyFont="1" applyBorder="1"/>
    <xf numFmtId="14" fontId="18" fillId="0" borderId="54" xfId="2" applyNumberFormat="1" applyFont="1" applyBorder="1"/>
    <xf numFmtId="169" fontId="0" fillId="3" borderId="55" xfId="2" applyNumberFormat="1" applyFont="1" applyFill="1" applyBorder="1"/>
    <xf numFmtId="170" fontId="0" fillId="0" borderId="56" xfId="2" applyNumberFormat="1" applyFont="1" applyBorder="1"/>
    <xf numFmtId="170" fontId="0" fillId="0" borderId="30" xfId="2" applyNumberFormat="1" applyFont="1" applyBorder="1"/>
    <xf numFmtId="170" fontId="0" fillId="0" borderId="55" xfId="2" applyNumberFormat="1" applyFont="1" applyBorder="1"/>
    <xf numFmtId="169" fontId="0" fillId="0" borderId="41" xfId="2" applyNumberFormat="1" applyFont="1" applyBorder="1"/>
    <xf numFmtId="0" fontId="0" fillId="3" borderId="55" xfId="0" applyFill="1" applyBorder="1"/>
    <xf numFmtId="170" fontId="0" fillId="0" borderId="33" xfId="2" applyNumberFormat="1" applyFont="1" applyBorder="1"/>
    <xf numFmtId="170" fontId="0" fillId="0" borderId="53" xfId="2" applyNumberFormat="1" applyFont="1" applyBorder="1"/>
    <xf numFmtId="169" fontId="0" fillId="0" borderId="36" xfId="2" applyNumberFormat="1" applyFont="1" applyBorder="1"/>
    <xf numFmtId="169" fontId="2" fillId="0" borderId="56" xfId="2" applyNumberFormat="1" applyFont="1" applyBorder="1"/>
    <xf numFmtId="175" fontId="2" fillId="0" borderId="53" xfId="2" applyNumberFormat="1" applyFont="1" applyBorder="1"/>
    <xf numFmtId="169" fontId="2" fillId="0" borderId="55" xfId="2" applyNumberFormat="1" applyFont="1" applyBorder="1"/>
    <xf numFmtId="171" fontId="0" fillId="0" borderId="56" xfId="0" applyNumberFormat="1" applyBorder="1"/>
    <xf numFmtId="171" fontId="0" fillId="0" borderId="54" xfId="0" applyNumberFormat="1" applyBorder="1"/>
    <xf numFmtId="171" fontId="0" fillId="0" borderId="33" xfId="2" applyNumberFormat="1" applyFont="1" applyBorder="1"/>
    <xf numFmtId="171" fontId="0" fillId="0" borderId="53" xfId="0" applyNumberFormat="1" applyBorder="1"/>
    <xf numFmtId="171" fontId="0" fillId="0" borderId="55" xfId="2" applyNumberFormat="1" applyFont="1" applyBorder="1"/>
    <xf numFmtId="0" fontId="0" fillId="0" borderId="41" xfId="0" applyBorder="1"/>
    <xf numFmtId="171" fontId="0" fillId="0" borderId="56" xfId="2" applyNumberFormat="1" applyFont="1" applyBorder="1"/>
    <xf numFmtId="171" fontId="0" fillId="0" borderId="53" xfId="2" applyNumberFormat="1" applyFont="1" applyBorder="1"/>
    <xf numFmtId="171" fontId="0" fillId="0" borderId="57" xfId="2" applyNumberFormat="1" applyFont="1" applyBorder="1"/>
    <xf numFmtId="171" fontId="0" fillId="3" borderId="55" xfId="2" applyNumberFormat="1" applyFont="1" applyFill="1" applyBorder="1"/>
    <xf numFmtId="171" fontId="3" fillId="3" borderId="55" xfId="0" applyNumberFormat="1" applyFont="1" applyFill="1" applyBorder="1"/>
    <xf numFmtId="171" fontId="3" fillId="0" borderId="55" xfId="0" applyNumberFormat="1" applyFont="1" applyBorder="1"/>
    <xf numFmtId="169" fontId="0" fillId="0" borderId="42" xfId="2" applyNumberFormat="1" applyFont="1" applyBorder="1"/>
    <xf numFmtId="171" fontId="0" fillId="3" borderId="55" xfId="0" applyNumberFormat="1" applyFill="1" applyBorder="1"/>
    <xf numFmtId="171" fontId="0" fillId="0" borderId="33" xfId="0" applyNumberFormat="1" applyBorder="1"/>
    <xf numFmtId="171" fontId="8" fillId="0" borderId="33" xfId="0" applyNumberFormat="1" applyFont="1" applyBorder="1"/>
    <xf numFmtId="171" fontId="8" fillId="0" borderId="54" xfId="2" applyNumberFormat="1" applyFont="1" applyBorder="1"/>
    <xf numFmtId="169" fontId="1" fillId="0" borderId="6" xfId="0" applyNumberFormat="1" applyFont="1" applyBorder="1"/>
    <xf numFmtId="171" fontId="1" fillId="0" borderId="6" xfId="0" applyNumberFormat="1" applyFont="1" applyBorder="1"/>
    <xf numFmtId="171" fontId="1" fillId="0" borderId="42" xfId="0" applyNumberFormat="1" applyFont="1" applyBorder="1"/>
    <xf numFmtId="169" fontId="3" fillId="0" borderId="58" xfId="2" applyNumberFormat="1" applyFont="1" applyBorder="1"/>
    <xf numFmtId="173" fontId="0" fillId="0" borderId="6" xfId="1" applyNumberFormat="1" applyFont="1" applyBorder="1"/>
    <xf numFmtId="173" fontId="0" fillId="0" borderId="6" xfId="0" applyNumberFormat="1" applyBorder="1"/>
    <xf numFmtId="10" fontId="2" fillId="0" borderId="6" xfId="3" applyNumberFormat="1" applyFont="1" applyBorder="1"/>
    <xf numFmtId="169" fontId="0" fillId="0" borderId="59" xfId="2" applyNumberFormat="1" applyFont="1" applyBorder="1"/>
    <xf numFmtId="0" fontId="9" fillId="0" borderId="6" xfId="0" applyFont="1" applyBorder="1" applyAlignment="1">
      <alignment horizontal="right"/>
    </xf>
    <xf numFmtId="0" fontId="9" fillId="0" borderId="6" xfId="0" applyFont="1" applyBorder="1" applyAlignment="1"/>
    <xf numFmtId="173" fontId="9" fillId="0" borderId="6" xfId="1" applyNumberFormat="1" applyFont="1" applyBorder="1" applyAlignment="1"/>
    <xf numFmtId="10" fontId="9" fillId="0" borderId="6" xfId="0" applyNumberFormat="1" applyFont="1" applyBorder="1" applyAlignment="1"/>
    <xf numFmtId="174" fontId="9" fillId="0" borderId="6" xfId="1" applyNumberFormat="1" applyFont="1" applyBorder="1" applyAlignment="1"/>
    <xf numFmtId="169" fontId="12" fillId="0" borderId="6" xfId="2" applyNumberFormat="1" applyFont="1" applyBorder="1" applyAlignment="1"/>
    <xf numFmtId="170" fontId="9" fillId="0" borderId="6" xfId="2" applyNumberFormat="1" applyFont="1" applyBorder="1" applyAlignment="1"/>
    <xf numFmtId="10" fontId="12" fillId="0" borderId="6" xfId="3" applyNumberFormat="1" applyFont="1" applyBorder="1" applyAlignment="1"/>
    <xf numFmtId="170" fontId="9" fillId="0" borderId="59" xfId="2" applyNumberFormat="1" applyFont="1" applyBorder="1" applyAlignment="1"/>
    <xf numFmtId="170" fontId="9" fillId="0" borderId="36" xfId="2" applyNumberFormat="1" applyFont="1" applyBorder="1" applyAlignment="1"/>
    <xf numFmtId="170" fontId="9" fillId="0" borderId="42" xfId="2" applyNumberFormat="1" applyFont="1" applyBorder="1" applyAlignment="1"/>
    <xf numFmtId="170" fontId="12" fillId="0" borderId="58" xfId="2" applyNumberFormat="1" applyFont="1" applyBorder="1" applyAlignment="1"/>
    <xf numFmtId="170" fontId="12" fillId="0" borderId="41" xfId="2" applyNumberFormat="1" applyFont="1" applyBorder="1" applyAlignment="1"/>
    <xf numFmtId="0" fontId="9" fillId="0" borderId="36" xfId="0" applyFont="1" applyBorder="1" applyAlignment="1"/>
    <xf numFmtId="170" fontId="12" fillId="0" borderId="6" xfId="0" applyNumberFormat="1" applyFont="1" applyBorder="1" applyAlignment="1"/>
    <xf numFmtId="10" fontId="4" fillId="0" borderId="11" xfId="0" applyNumberFormat="1" applyFont="1" applyBorder="1" applyAlignment="1">
      <alignment horizontal="center"/>
    </xf>
    <xf numFmtId="10" fontId="9" fillId="0" borderId="11" xfId="0" applyNumberFormat="1" applyFont="1" applyBorder="1" applyAlignment="1">
      <alignment horizontal="center"/>
    </xf>
    <xf numFmtId="10" fontId="9" fillId="0" borderId="11" xfId="3" applyNumberFormat="1" applyFont="1" applyBorder="1" applyAlignment="1">
      <alignment horizontal="center"/>
    </xf>
    <xf numFmtId="170" fontId="5" fillId="0" borderId="11" xfId="0" applyNumberFormat="1" applyFont="1" applyBorder="1" applyAlignment="1"/>
    <xf numFmtId="10" fontId="5" fillId="0" borderId="11" xfId="3" applyNumberFormat="1" applyFont="1" applyBorder="1" applyAlignment="1">
      <alignment horizontal="right"/>
    </xf>
    <xf numFmtId="169" fontId="0" fillId="0" borderId="6" xfId="2" applyNumberFormat="1" applyFont="1" applyBorder="1"/>
    <xf numFmtId="0" fontId="3" fillId="3" borderId="60" xfId="0" applyFont="1" applyFill="1" applyBorder="1"/>
    <xf numFmtId="38" fontId="2" fillId="0" borderId="4" xfId="0" applyNumberFormat="1" applyFont="1" applyBorder="1"/>
    <xf numFmtId="38" fontId="2" fillId="0" borderId="3" xfId="0" applyNumberFormat="1" applyFont="1" applyBorder="1" applyAlignment="1">
      <alignment horizontal="left"/>
    </xf>
    <xf numFmtId="38" fontId="2" fillId="0" borderId="35" xfId="0" applyNumberFormat="1" applyFont="1" applyBorder="1"/>
    <xf numFmtId="171" fontId="0" fillId="0" borderId="4" xfId="0" applyNumberFormat="1" applyBorder="1"/>
    <xf numFmtId="171" fontId="0" fillId="0" borderId="3" xfId="0" applyNumberFormat="1" applyBorder="1"/>
    <xf numFmtId="171" fontId="0" fillId="0" borderId="2" xfId="0" applyNumberFormat="1" applyBorder="1"/>
    <xf numFmtId="171" fontId="0" fillId="0" borderId="35" xfId="0" applyNumberFormat="1" applyBorder="1"/>
    <xf numFmtId="171" fontId="3" fillId="3" borderId="60" xfId="0" applyNumberFormat="1" applyFont="1" applyFill="1" applyBorder="1"/>
    <xf numFmtId="169" fontId="3" fillId="3" borderId="60" xfId="2" applyNumberFormat="1" applyFont="1" applyFill="1" applyBorder="1"/>
    <xf numFmtId="169" fontId="1" fillId="0" borderId="10" xfId="2" applyNumberFormat="1" applyFont="1" applyBorder="1"/>
    <xf numFmtId="0" fontId="3" fillId="0" borderId="35" xfId="0" applyFont="1" applyBorder="1"/>
    <xf numFmtId="171" fontId="8" fillId="0" borderId="2" xfId="0" applyNumberFormat="1" applyFont="1" applyBorder="1"/>
    <xf numFmtId="171" fontId="8" fillId="0" borderId="24" xfId="0" applyNumberFormat="1" applyFont="1" applyBorder="1"/>
    <xf numFmtId="0" fontId="1" fillId="7" borderId="2" xfId="0" applyFont="1" applyFill="1" applyBorder="1"/>
    <xf numFmtId="0" fontId="1" fillId="7" borderId="3" xfId="0" applyFont="1" applyFill="1" applyBorder="1"/>
    <xf numFmtId="0" fontId="3" fillId="7" borderId="10" xfId="0" applyFont="1" applyFill="1" applyBorder="1"/>
    <xf numFmtId="0" fontId="0" fillId="7" borderId="4" xfId="0" applyFill="1" applyBorder="1"/>
    <xf numFmtId="0" fontId="9" fillId="7" borderId="2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40" fontId="9" fillId="7" borderId="2" xfId="0" applyNumberFormat="1" applyFont="1" applyFill="1" applyBorder="1" applyAlignment="1">
      <alignment horizontal="left"/>
    </xf>
    <xf numFmtId="0" fontId="12" fillId="7" borderId="10" xfId="0" applyFont="1" applyFill="1" applyBorder="1" applyAlignment="1">
      <alignment horizontal="left"/>
    </xf>
    <xf numFmtId="0" fontId="5" fillId="7" borderId="10" xfId="0" applyFont="1" applyFill="1" applyBorder="1" applyAlignment="1">
      <alignment horizontal="left"/>
    </xf>
    <xf numFmtId="0" fontId="20" fillId="9" borderId="61" xfId="0" applyFont="1" applyFill="1" applyBorder="1" applyAlignment="1">
      <alignment vertical="center" wrapText="1"/>
    </xf>
    <xf numFmtId="0" fontId="20" fillId="9" borderId="62" xfId="0" applyFont="1" applyFill="1" applyBorder="1" applyAlignment="1">
      <alignment vertical="center" wrapText="1"/>
    </xf>
    <xf numFmtId="0" fontId="20" fillId="9" borderId="63" xfId="0" applyFont="1" applyFill="1" applyBorder="1" applyAlignment="1">
      <alignment vertical="center" wrapText="1"/>
    </xf>
    <xf numFmtId="0" fontId="20" fillId="9" borderId="64" xfId="0" applyFont="1" applyFill="1" applyBorder="1" applyAlignment="1">
      <alignment vertical="center" wrapText="1"/>
    </xf>
    <xf numFmtId="0" fontId="20" fillId="9" borderId="65" xfId="0" applyFont="1" applyFill="1" applyBorder="1" applyAlignment="1">
      <alignment vertical="center" wrapText="1"/>
    </xf>
    <xf numFmtId="0" fontId="20" fillId="9" borderId="66" xfId="0" applyFont="1" applyFill="1" applyBorder="1" applyAlignment="1">
      <alignment vertical="center" wrapText="1"/>
    </xf>
    <xf numFmtId="166" fontId="0" fillId="0" borderId="0" xfId="0" applyNumberFormat="1" applyFill="1"/>
    <xf numFmtId="169" fontId="0" fillId="0" borderId="0" xfId="2" applyNumberFormat="1" applyFont="1" applyFill="1"/>
    <xf numFmtId="0" fontId="0" fillId="7" borderId="0" xfId="0" applyFill="1" applyBorder="1"/>
    <xf numFmtId="0" fontId="19" fillId="7" borderId="31" xfId="0" applyFont="1" applyFill="1" applyBorder="1"/>
    <xf numFmtId="169" fontId="0" fillId="7" borderId="31" xfId="2" applyNumberFormat="1" applyFont="1" applyFill="1" applyBorder="1"/>
    <xf numFmtId="0" fontId="0" fillId="7" borderId="31" xfId="0" applyFill="1" applyBorder="1"/>
    <xf numFmtId="165" fontId="0" fillId="0" borderId="2" xfId="0" applyNumberFormat="1" applyFill="1" applyBorder="1"/>
    <xf numFmtId="0" fontId="4" fillId="0" borderId="22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15" fontId="4" fillId="0" borderId="0" xfId="0" applyNumberFormat="1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CCFFFF"/>
      <color rgb="FF66FFFF"/>
      <color rgb="FF66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Holding Cost</a:t>
            </a:r>
          </a:p>
        </c:rich>
      </c:tx>
      <c:layout>
        <c:manualLayout>
          <c:xMode val="edge"/>
          <c:yMode val="edge"/>
          <c:x val="0.40108507231610008"/>
          <c:y val="4.245283018867924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14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840137089624327"/>
          <c:y val="0.30660377358490565"/>
          <c:w val="0.74796945918407853"/>
          <c:h val="0.5141509433962264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plosion val="17"/>
            <c:extLst>
              <c:ext xmlns:c16="http://schemas.microsoft.com/office/drawing/2014/chart" uri="{C3380CC4-5D6E-409C-BE32-E72D297353CC}">
                <c16:uniqueId val="{00000000-684F-4EE2-B697-068F0226CCCB}"/>
              </c:ext>
            </c:extLst>
          </c:dPt>
          <c:dPt>
            <c:idx val="1"/>
            <c:bubble3D val="0"/>
            <c:spPr>
              <a:solidFill>
                <a:srgbClr val="6633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84F-4EE2-B697-068F0226CCCB}"/>
              </c:ext>
            </c:extLst>
          </c:dPt>
          <c:dPt>
            <c:idx val="2"/>
            <c:bubble3D val="0"/>
            <c:explosion val="13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84F-4EE2-B697-068F0226CCC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Property 1'!$A$73:$A$75</c:f>
              <c:strCache>
                <c:ptCount val="3"/>
                <c:pt idx="0">
                  <c:v>Tenant</c:v>
                </c:pt>
                <c:pt idx="1">
                  <c:v>Tax Office</c:v>
                </c:pt>
                <c:pt idx="2">
                  <c:v>You</c:v>
                </c:pt>
              </c:strCache>
            </c:strRef>
          </c:cat>
          <c:val>
            <c:numRef>
              <c:f>'Data Property 1'!$C$73:$C$75</c:f>
              <c:numCache>
                <c:formatCode>_-"$"* #,##0_-;[Red]\-"$"* #,##0_-;_-"$"* "-"_-;_-@_-</c:formatCode>
                <c:ptCount val="3"/>
                <c:pt idx="0" formatCode="_-&quot;$&quot;* #,##0_-;\-&quot;$&quot;* #,##0_-;_-&quot;$&quot;* &quot;-&quot;??_-;_-@_-">
                  <c:v>424.28571428571433</c:v>
                </c:pt>
                <c:pt idx="1">
                  <c:v>0</c:v>
                </c:pt>
                <c:pt idx="2">
                  <c:v>45828.933901643846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4F-4EE2-B697-068F0226CCC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Cumulative Profit</a:t>
            </a:r>
          </a:p>
        </c:rich>
      </c:tx>
      <c:layout>
        <c:manualLayout>
          <c:xMode val="edge"/>
          <c:yMode val="edge"/>
          <c:x val="0.32227006184538837"/>
          <c:y val="3.74150095260387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17241379310344"/>
          <c:y val="0.24830014449187027"/>
          <c:w val="0.84413793103448276"/>
          <c:h val="0.6802743684708774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'Data Property 1'!$C$123:$Q$123</c:f>
              <c:numCache>
                <c:formatCode>_-"$"* #,##0_-;[Red]\-"$"* #,##0_-;_-"$"* "-"??_-;_-@_-</c:formatCode>
                <c:ptCount val="15"/>
                <c:pt idx="0">
                  <c:v>1619.7344545205415</c:v>
                </c:pt>
                <c:pt idx="1">
                  <c:v>33985.210157362992</c:v>
                </c:pt>
                <c:pt idx="2">
                  <c:v>69076.378555498086</c:v>
                </c:pt>
                <c:pt idx="3">
                  <c:v>107149.66138497481</c:v>
                </c:pt>
                <c:pt idx="4">
                  <c:v>148462.51417645335</c:v>
                </c:pt>
                <c:pt idx="5">
                  <c:v>193158.82376134291</c:v>
                </c:pt>
                <c:pt idx="6">
                  <c:v>241636.21388456092</c:v>
                </c:pt>
                <c:pt idx="7">
                  <c:v>294204.54940499802</c:v>
                </c:pt>
                <c:pt idx="8">
                  <c:v>351184.47625264729</c:v>
                </c:pt>
                <c:pt idx="9">
                  <c:v>412933.90144001239</c:v>
                </c:pt>
                <c:pt idx="10">
                  <c:v>479792.96176119661</c:v>
                </c:pt>
                <c:pt idx="11">
                  <c:v>552172.76939901442</c:v>
                </c:pt>
                <c:pt idx="12">
                  <c:v>630500.43415587768</c:v>
                </c:pt>
                <c:pt idx="13">
                  <c:v>715256.01070562145</c:v>
                </c:pt>
                <c:pt idx="14">
                  <c:v>806895.55183058546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C-4F6E-BAF7-E5107BAF2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475456"/>
        <c:axId val="224477024"/>
      </c:barChart>
      <c:catAx>
        <c:axId val="22447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4477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4477024"/>
        <c:scaling>
          <c:orientation val="minMax"/>
        </c:scaling>
        <c:delete val="0"/>
        <c:axPos val="l"/>
        <c:majorGridlines/>
        <c:numFmt formatCode="_-&quot;$&quot;* #,##0_-;[Red]\-&quot;$&quot;* #,##0_-;_-&quot;$&quot;* &quot;-&quot;??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447545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Holding Cost</a:t>
            </a:r>
          </a:p>
        </c:rich>
      </c:tx>
      <c:layout>
        <c:manualLayout>
          <c:xMode val="edge"/>
          <c:yMode val="edge"/>
          <c:x val="0.40108507231610008"/>
          <c:y val="4.245283018867924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14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840137089624327"/>
          <c:y val="0.30660377358490565"/>
          <c:w val="0.74796945918407853"/>
          <c:h val="0.5141509433962264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plosion val="17"/>
            <c:extLst>
              <c:ext xmlns:c16="http://schemas.microsoft.com/office/drawing/2014/chart" uri="{C3380CC4-5D6E-409C-BE32-E72D297353CC}">
                <c16:uniqueId val="{00000000-51C3-4FA1-BD2B-0AC72DD52E1E}"/>
              </c:ext>
            </c:extLst>
          </c:dPt>
          <c:dPt>
            <c:idx val="1"/>
            <c:bubble3D val="0"/>
            <c:spPr>
              <a:solidFill>
                <a:srgbClr val="6633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1C3-4FA1-BD2B-0AC72DD52E1E}"/>
              </c:ext>
            </c:extLst>
          </c:dPt>
          <c:dPt>
            <c:idx val="2"/>
            <c:bubble3D val="0"/>
            <c:explosion val="13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1C3-4FA1-BD2B-0AC72DD52E1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Property 2'!$A$73:$A$75</c:f>
              <c:strCache>
                <c:ptCount val="3"/>
                <c:pt idx="0">
                  <c:v>Tenant</c:v>
                </c:pt>
                <c:pt idx="1">
                  <c:v>Tax Office</c:v>
                </c:pt>
                <c:pt idx="2">
                  <c:v>You</c:v>
                </c:pt>
              </c:strCache>
            </c:strRef>
          </c:cat>
          <c:val>
            <c:numRef>
              <c:f>'Data Property 2'!$C$73:$C$75</c:f>
              <c:numCache>
                <c:formatCode>_-"$"* #,##0_-;[Red]\-"$"* #,##0_-;_-"$"* "-"_-;_-@_-</c:formatCode>
                <c:ptCount val="3"/>
                <c:pt idx="0" formatCode="_-&quot;$&quot;* #,##0_-;\-&quot;$&quot;* #,##0_-;_-&quot;$&quot;* &quot;-&quot;??_-;_-@_-">
                  <c:v>2877.1428571428569</c:v>
                </c:pt>
                <c:pt idx="1">
                  <c:v>0</c:v>
                </c:pt>
                <c:pt idx="2">
                  <c:v>45583.258594403138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C3-4FA1-BD2B-0AC72DD52E1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Holding Costs Year 15</a:t>
            </a:r>
          </a:p>
        </c:rich>
      </c:tx>
      <c:layout>
        <c:manualLayout>
          <c:xMode val="edge"/>
          <c:yMode val="edge"/>
          <c:x val="0.36823169603116546"/>
          <c:y val="4.8485135447061123E-2"/>
        </c:manualLayout>
      </c:layout>
      <c:overlay val="0"/>
    </c:title>
    <c:autoTitleDeleted val="0"/>
    <c:view3D>
      <c:rotX val="15"/>
      <c:rotY val="14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7473096008249674E-2"/>
          <c:y val="0.30909273847501467"/>
          <c:w val="0.772564538732053"/>
          <c:h val="0.5151545641250243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7"/>
            <c:extLst>
              <c:ext xmlns:c16="http://schemas.microsoft.com/office/drawing/2014/chart" uri="{C3380CC4-5D6E-409C-BE32-E72D297353CC}">
                <c16:uniqueId val="{00000000-2224-4FF1-9173-8DBC9247A90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2224-4FF1-9173-8DBC9247A909}"/>
              </c:ext>
            </c:extLst>
          </c:dPt>
          <c:dPt>
            <c:idx val="2"/>
            <c:bubble3D val="0"/>
            <c:explosion val="13"/>
            <c:extLst>
              <c:ext xmlns:c16="http://schemas.microsoft.com/office/drawing/2014/chart" uri="{C3380CC4-5D6E-409C-BE32-E72D297353CC}">
                <c16:uniqueId val="{00000002-2224-4FF1-9173-8DBC9247A909}"/>
              </c:ext>
            </c:extLst>
          </c:dPt>
          <c:dLbls>
            <c:dLbl>
              <c:idx val="1"/>
              <c:layout>
                <c:manualLayout>
                  <c:x val="-0.14493435087538345"/>
                  <c:y val="9.28862635670151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24-4FF1-9173-8DBC9247A909}"/>
                </c:ext>
              </c:extLst>
            </c:dLbl>
            <c:dLbl>
              <c:idx val="2"/>
              <c:layout>
                <c:manualLayout>
                  <c:x val="0.10823417624025156"/>
                  <c:y val="-0.1928759958204231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24-4FF1-9173-8DBC9247A90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Property 2'!$A$73:$A$75</c:f>
              <c:strCache>
                <c:ptCount val="3"/>
                <c:pt idx="0">
                  <c:v>Tenant</c:v>
                </c:pt>
                <c:pt idx="1">
                  <c:v>Tax Office</c:v>
                </c:pt>
                <c:pt idx="2">
                  <c:v>You</c:v>
                </c:pt>
              </c:strCache>
            </c:strRef>
          </c:cat>
          <c:val>
            <c:numRef>
              <c:f>'Data Property 2'!$Q$73:$Q$75</c:f>
              <c:numCache>
                <c:formatCode>_-"$"* #,##0_-;[Red]\-"$"* #,##0_-;_-"$"* "-"_-;_-@_-</c:formatCode>
                <c:ptCount val="3"/>
                <c:pt idx="0" formatCode="_-&quot;$&quot;* #,##0_-;\-&quot;$&quot;* #,##0_-;_-&quot;$&quot;* &quot;-&quot;??_-;_-@_-">
                  <c:v>28999.053949127057</c:v>
                </c:pt>
                <c:pt idx="1">
                  <c:v>0</c:v>
                </c:pt>
                <c:pt idx="2">
                  <c:v>65761.172864321255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24-4FF1-9173-8DBC9247A90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Holding Costs Year 10</a:t>
            </a:r>
          </a:p>
        </c:rich>
      </c:tx>
      <c:layout>
        <c:manualLayout>
          <c:xMode val="edge"/>
          <c:yMode val="edge"/>
          <c:x val="0.21248707706127146"/>
          <c:y val="3.6462429710257017E-2"/>
        </c:manualLayout>
      </c:layout>
      <c:overlay val="0"/>
    </c:title>
    <c:autoTitleDeleted val="0"/>
    <c:view3D>
      <c:rotX val="15"/>
      <c:rotY val="14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29813023514311"/>
          <c:y val="0.29716981132075471"/>
          <c:w val="0.75880959627370292"/>
          <c:h val="0.52358490566037741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7"/>
            <c:extLst>
              <c:ext xmlns:c16="http://schemas.microsoft.com/office/drawing/2014/chart" uri="{C3380CC4-5D6E-409C-BE32-E72D297353CC}">
                <c16:uniqueId val="{00000000-EE49-4233-A0ED-D661AF1EDCA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E49-4233-A0ED-D661AF1EDCA5}"/>
              </c:ext>
            </c:extLst>
          </c:dPt>
          <c:dPt>
            <c:idx val="2"/>
            <c:bubble3D val="0"/>
            <c:explosion val="13"/>
            <c:extLst>
              <c:ext xmlns:c16="http://schemas.microsoft.com/office/drawing/2014/chart" uri="{C3380CC4-5D6E-409C-BE32-E72D297353CC}">
                <c16:uniqueId val="{00000002-EE49-4233-A0ED-D661AF1EDCA5}"/>
              </c:ext>
            </c:extLst>
          </c:dPt>
          <c:dLbls>
            <c:dLbl>
              <c:idx val="1"/>
              <c:layout>
                <c:manualLayout>
                  <c:x val="0.11562218184265428"/>
                  <c:y val="-0.1518107419606037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49-4233-A0ED-D661AF1EDCA5}"/>
                </c:ext>
              </c:extLst>
            </c:dLbl>
            <c:dLbl>
              <c:idx val="2"/>
              <c:layout>
                <c:manualLayout>
                  <c:x val="-0.13648563160374183"/>
                  <c:y val="0.1018294434411101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49-4233-A0ED-D661AF1EDCA5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Property 2'!$A$73:$A$75</c:f>
              <c:strCache>
                <c:ptCount val="3"/>
                <c:pt idx="0">
                  <c:v>Tenant</c:v>
                </c:pt>
                <c:pt idx="1">
                  <c:v>Tax Office</c:v>
                </c:pt>
                <c:pt idx="2">
                  <c:v>You</c:v>
                </c:pt>
              </c:strCache>
            </c:strRef>
          </c:cat>
          <c:val>
            <c:numRef>
              <c:f>'Data Property 2'!$L$73:$L$75</c:f>
              <c:numCache>
                <c:formatCode>_-"$"* #,##0_-;[Red]\-"$"* #,##0_-;_-"$"* "-"_-;_-@_-</c:formatCode>
                <c:ptCount val="3"/>
                <c:pt idx="0" formatCode="_-&quot;$&quot;* #,##0_-;\-&quot;$&quot;* #,##0_-;_-&quot;$&quot;* &quot;-&quot;??_-;_-@_-">
                  <c:v>25136.624417104642</c:v>
                </c:pt>
                <c:pt idx="1">
                  <c:v>0</c:v>
                </c:pt>
                <c:pt idx="2">
                  <c:v>58085.944803670551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49-4233-A0ED-D661AF1EDCA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Holding Costs Year 5</a:t>
            </a:r>
          </a:p>
        </c:rich>
      </c:tx>
      <c:layout>
        <c:manualLayout>
          <c:xMode val="edge"/>
          <c:yMode val="edge"/>
          <c:x val="0.21541552875510814"/>
          <c:y val="3.9130315690343552E-2"/>
        </c:manualLayout>
      </c:layout>
      <c:overlay val="0"/>
    </c:title>
    <c:autoTitleDeleted val="0"/>
    <c:view3D>
      <c:rotX val="15"/>
      <c:rotY val="9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695187165775401"/>
          <c:y val="0.31739130434782609"/>
          <c:w val="0.75133689839572193"/>
          <c:h val="0.48695652173913045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7"/>
            <c:extLst>
              <c:ext xmlns:c16="http://schemas.microsoft.com/office/drawing/2014/chart" uri="{C3380CC4-5D6E-409C-BE32-E72D297353CC}">
                <c16:uniqueId val="{00000000-F606-4505-A114-C722FE87983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F606-4505-A114-C722FE879839}"/>
              </c:ext>
            </c:extLst>
          </c:dPt>
          <c:dPt>
            <c:idx val="2"/>
            <c:bubble3D val="0"/>
            <c:explosion val="13"/>
            <c:extLst>
              <c:ext xmlns:c16="http://schemas.microsoft.com/office/drawing/2014/chart" uri="{C3380CC4-5D6E-409C-BE32-E72D297353CC}">
                <c16:uniqueId val="{00000002-F606-4505-A114-C722FE879839}"/>
              </c:ext>
            </c:extLst>
          </c:dPt>
          <c:dLbls>
            <c:dLbl>
              <c:idx val="1"/>
              <c:layout>
                <c:manualLayout>
                  <c:x val="-6.9539468957806688E-2"/>
                  <c:y val="-0.1839104897707579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06-4505-A114-C722FE87983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Property 2'!$A$73:$A$75</c:f>
              <c:strCache>
                <c:ptCount val="3"/>
                <c:pt idx="0">
                  <c:v>Tenant</c:v>
                </c:pt>
                <c:pt idx="1">
                  <c:v>Tax Office</c:v>
                </c:pt>
                <c:pt idx="2">
                  <c:v>You</c:v>
                </c:pt>
              </c:strCache>
            </c:strRef>
          </c:cat>
          <c:val>
            <c:numRef>
              <c:f>'Data Property 2'!$G$73:$G$75</c:f>
              <c:numCache>
                <c:formatCode>_-"$"* #,##0_-;[Red]\-"$"* #,##0_-;_-"$"* "-"_-;_-@_-</c:formatCode>
                <c:ptCount val="3"/>
                <c:pt idx="0" formatCode="_-&quot;$&quot;* #,##0_-;\-&quot;$&quot;* #,##0_-;_-&quot;$&quot;* &quot;-&quot;??_-;_-@_-">
                  <c:v>21849.500056684854</c:v>
                </c:pt>
                <c:pt idx="1">
                  <c:v>0</c:v>
                </c:pt>
                <c:pt idx="2">
                  <c:v>50839.806376223089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6-4505-A114-C722FE87983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Holding Costs Year 1</a:t>
            </a:r>
          </a:p>
          <a:p>
            <a:pPr>
              <a:defRPr/>
            </a:pPr>
            <a:endParaRPr lang="en-AU"/>
          </a:p>
        </c:rich>
      </c:tx>
      <c:layout>
        <c:manualLayout>
          <c:xMode val="edge"/>
          <c:yMode val="edge"/>
          <c:x val="0.25103412133769126"/>
          <c:y val="3.9130276788317632E-2"/>
        </c:manualLayout>
      </c:layout>
      <c:overlay val="0"/>
    </c:title>
    <c:autoTitleDeleted val="0"/>
    <c:view3D>
      <c:rotX val="15"/>
      <c:rotY val="9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379679144385027"/>
          <c:y val="0.29565217391304349"/>
          <c:w val="0.73529411764705888"/>
          <c:h val="0.47391304347826085"/>
        </c:manualLayout>
      </c:layout>
      <c:pie3DChart>
        <c:varyColors val="1"/>
        <c:ser>
          <c:idx val="0"/>
          <c:order val="0"/>
          <c:explosion val="7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488-42D3-8C50-2881E61C469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488-42D3-8C50-2881E61C4694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488-42D3-8C50-2881E61C4694}"/>
              </c:ext>
            </c:extLst>
          </c:dPt>
          <c:dLbls>
            <c:dLbl>
              <c:idx val="1"/>
              <c:layout>
                <c:manualLayout>
                  <c:x val="-3.8895068990135284E-2"/>
                  <c:y val="-0.2143076797822724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88-42D3-8C50-2881E61C469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Property 2'!$A$73:$A$75</c:f>
              <c:strCache>
                <c:ptCount val="3"/>
                <c:pt idx="0">
                  <c:v>Tenant</c:v>
                </c:pt>
                <c:pt idx="1">
                  <c:v>Tax Office</c:v>
                </c:pt>
                <c:pt idx="2">
                  <c:v>You</c:v>
                </c:pt>
              </c:strCache>
            </c:strRef>
          </c:cat>
          <c:val>
            <c:numRef>
              <c:f>'Data Property 2'!$C$73:$C$75</c:f>
              <c:numCache>
                <c:formatCode>_-"$"* #,##0_-;[Red]\-"$"* #,##0_-;_-"$"* "-"_-;_-@_-</c:formatCode>
                <c:ptCount val="3"/>
                <c:pt idx="0" formatCode="_-&quot;$&quot;* #,##0_-;\-&quot;$&quot;* #,##0_-;_-&quot;$&quot;* &quot;-&quot;??_-;_-@_-">
                  <c:v>2877.1428571428569</c:v>
                </c:pt>
                <c:pt idx="1">
                  <c:v>0</c:v>
                </c:pt>
                <c:pt idx="2">
                  <c:v>45583.258594403138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88-42D3-8C50-2881E61C469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Total Profit Per Year</a:t>
            </a:r>
          </a:p>
        </c:rich>
      </c:tx>
      <c:layout>
        <c:manualLayout>
          <c:xMode val="edge"/>
          <c:yMode val="edge"/>
          <c:x val="0.39310344827586208"/>
          <c:y val="3.7415090265898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17241379310344"/>
          <c:y val="0.24830014449187027"/>
          <c:w val="0.84413793103448276"/>
          <c:h val="0.6802743684708774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'Data Property 2'!$C$122:$Q$122</c:f>
              <c:numCache>
                <c:formatCode>_-"$"* #,##0_-;[Red]\-"$"* #,##0_-;_-"$"* "-"??_-;_-@_-</c:formatCode>
                <c:ptCount val="15"/>
                <c:pt idx="0">
                  <c:v>-3712.6724300195492</c:v>
                </c:pt>
                <c:pt idx="1">
                  <c:v>28880.625258419797</c:v>
                </c:pt>
                <c:pt idx="2">
                  <c:v>30585.700967674464</c:v>
                </c:pt>
                <c:pt idx="3">
                  <c:v>32425.431936185978</c:v>
                </c:pt>
                <c:pt idx="4">
                  <c:v>34423.005462505651</c:v>
                </c:pt>
                <c:pt idx="5">
                  <c:v>36364.223425263932</c:v>
                </c:pt>
                <c:pt idx="6">
                  <c:v>38609.025761422585</c:v>
                </c:pt>
                <c:pt idx="7">
                  <c:v>40985.641014553883</c:v>
                </c:pt>
                <c:pt idx="8">
                  <c:v>43536.11515188279</c:v>
                </c:pt>
                <c:pt idx="9">
                  <c:v>46164.003209192255</c:v>
                </c:pt>
                <c:pt idx="10">
                  <c:v>48996.113610670029</c:v>
                </c:pt>
                <c:pt idx="11">
                  <c:v>51983.814499875276</c:v>
                </c:pt>
                <c:pt idx="12">
                  <c:v>55183.55537066151</c:v>
                </c:pt>
                <c:pt idx="13">
                  <c:v>58475.983312719298</c:v>
                </c:pt>
                <c:pt idx="14">
                  <c:v>62023.893205094981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0-4D9C-958E-5AD15E8CA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976848"/>
        <c:axId val="221977240"/>
      </c:barChart>
      <c:catAx>
        <c:axId val="22197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197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1977240"/>
        <c:scaling>
          <c:orientation val="minMax"/>
        </c:scaling>
        <c:delete val="0"/>
        <c:axPos val="l"/>
        <c:majorGridlines/>
        <c:numFmt formatCode="_-&quot;$&quot;* #,##0_-;[Red]\-&quot;$&quot;* #,##0_-;_-&quot;$&quot;* &quot;-&quot;??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197684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After Tax Cash Flow</a:t>
            </a:r>
          </a:p>
        </c:rich>
      </c:tx>
      <c:layout>
        <c:manualLayout>
          <c:xMode val="edge"/>
          <c:yMode val="edge"/>
          <c:x val="0.39310344827586208"/>
          <c:y val="3.7415090265898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17241379310344"/>
          <c:y val="0.24830014449187027"/>
          <c:w val="0.84413793103448276"/>
          <c:h val="0.6802743684708774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'Data Property 2'!$C$119:$Q$119</c:f>
              <c:numCache>
                <c:formatCode>_-"$"* #,##0_-;[Red]\-"$"* #,##0_-;_-"$"* "-"??_-;_-@_-</c:formatCode>
                <c:ptCount val="15"/>
                <c:pt idx="0">
                  <c:v>1348.9714055968661</c:v>
                </c:pt>
                <c:pt idx="1">
                  <c:v>1614.3238885567589</c:v>
                </c:pt>
                <c:pt idx="2">
                  <c:v>1683.4215156196442</c:v>
                </c:pt>
                <c:pt idx="3">
                  <c:v>1789.0157170078564</c:v>
                </c:pt>
                <c:pt idx="4">
                  <c:v>1948.4042701769176</c:v>
                </c:pt>
                <c:pt idx="5">
                  <c:v>1941.1461613954016</c:v>
                </c:pt>
                <c:pt idx="6">
                  <c:v>2120.5638617220065</c:v>
                </c:pt>
                <c:pt idx="7">
                  <c:v>2307.871400871245</c:v>
                </c:pt>
                <c:pt idx="8">
                  <c:v>2537.6793613791597</c:v>
                </c:pt>
                <c:pt idx="9">
                  <c:v>2705.6612712584392</c:v>
                </c:pt>
                <c:pt idx="10">
                  <c:v>2930.271156460225</c:v>
                </c:pt>
                <c:pt idx="11">
                  <c:v>3154.0214984128033</c:v>
                </c:pt>
                <c:pt idx="12">
                  <c:v>3423.974789111373</c:v>
                </c:pt>
                <c:pt idx="13">
                  <c:v>3610.827896276056</c:v>
                </c:pt>
                <c:pt idx="14">
                  <c:v>3866.8284636652279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7-49B2-A7A3-09B6A90E4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328040"/>
        <c:axId val="225324904"/>
      </c:barChart>
      <c:catAx>
        <c:axId val="22532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5324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324904"/>
        <c:scaling>
          <c:orientation val="minMax"/>
        </c:scaling>
        <c:delete val="0"/>
        <c:axPos val="l"/>
        <c:majorGridlines/>
        <c:numFmt formatCode="_-&quot;$&quot;* #,##0_-;[Red]\-&quot;$&quot;* #,##0_-;_-&quot;$&quot;* &quot;-&quot;??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532804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Property Value</a:t>
            </a:r>
          </a:p>
        </c:rich>
      </c:tx>
      <c:layout>
        <c:manualLayout>
          <c:xMode val="edge"/>
          <c:yMode val="edge"/>
          <c:x val="0.39310344827586208"/>
          <c:y val="3.7415090265898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17241379310344"/>
          <c:y val="0.24830014449187027"/>
          <c:w val="0.84413793103448276"/>
          <c:h val="0.68027436847087741"/>
        </c:manualLayout>
      </c:layout>
      <c:areaChart>
        <c:grouping val="stacked"/>
        <c:varyColors val="0"/>
        <c:ser>
          <c:idx val="0"/>
          <c:order val="0"/>
          <c:val>
            <c:numRef>
              <c:f>'Data Property 2'!$C$102:$Q$102</c:f>
              <c:numCache>
                <c:formatCode>_-* #,##0_-;\-* #,##0_-;_-* "-"??_-;_-@_-</c:formatCode>
                <c:ptCount val="15"/>
                <c:pt idx="0">
                  <c:v>454438.35616438359</c:v>
                </c:pt>
                <c:pt idx="1">
                  <c:v>481704.65753424662</c:v>
                </c:pt>
                <c:pt idx="2">
                  <c:v>510606.93698630144</c:v>
                </c:pt>
                <c:pt idx="3">
                  <c:v>541243.35320547957</c:v>
                </c:pt>
                <c:pt idx="4">
                  <c:v>573717.95439780829</c:v>
                </c:pt>
                <c:pt idx="5">
                  <c:v>608141.03166167683</c:v>
                </c:pt>
                <c:pt idx="6">
                  <c:v>644629.4935613774</c:v>
                </c:pt>
                <c:pt idx="7">
                  <c:v>683307.26317506004</c:v>
                </c:pt>
                <c:pt idx="8">
                  <c:v>724305.69896556367</c:v>
                </c:pt>
                <c:pt idx="9">
                  <c:v>767764.04090349749</c:v>
                </c:pt>
                <c:pt idx="10">
                  <c:v>813829.88335770729</c:v>
                </c:pt>
                <c:pt idx="11">
                  <c:v>862659.67635916977</c:v>
                </c:pt>
                <c:pt idx="12">
                  <c:v>914419.2569407199</c:v>
                </c:pt>
                <c:pt idx="13">
                  <c:v>969284.41235716315</c:v>
                </c:pt>
                <c:pt idx="14">
                  <c:v>1027441.4770985929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5-440A-BCD8-EC0D6597D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28432"/>
        <c:axId val="225324512"/>
      </c:areaChart>
      <c:catAx>
        <c:axId val="22532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5324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3245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5328432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Cumulative Cash Flow</a:t>
            </a:r>
          </a:p>
        </c:rich>
      </c:tx>
      <c:layout>
        <c:manualLayout>
          <c:xMode val="edge"/>
          <c:yMode val="edge"/>
          <c:x val="0.25930712259987365"/>
          <c:y val="3.74150095260387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17241379310344"/>
          <c:y val="0.24830014449187027"/>
          <c:w val="0.84413793103448276"/>
          <c:h val="0.6802743684708774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'Data Property 2'!$C$120:$Q$120</c:f>
              <c:numCache>
                <c:formatCode>_-"$"* #,##0_-;[Red]\-"$"* #,##0_-;_-"$"* "-"??_-;_-@_-</c:formatCode>
                <c:ptCount val="15"/>
                <c:pt idx="0">
                  <c:v>1348.9714055968661</c:v>
                </c:pt>
                <c:pt idx="1">
                  <c:v>2963.295294153625</c:v>
                </c:pt>
                <c:pt idx="2">
                  <c:v>4646.7168097732692</c:v>
                </c:pt>
                <c:pt idx="3">
                  <c:v>6435.7325267811257</c:v>
                </c:pt>
                <c:pt idx="4">
                  <c:v>8384.1367969580424</c:v>
                </c:pt>
                <c:pt idx="5">
                  <c:v>10325.282958353444</c:v>
                </c:pt>
                <c:pt idx="6">
                  <c:v>12445.846820075451</c:v>
                </c:pt>
                <c:pt idx="7">
                  <c:v>14753.718220946696</c:v>
                </c:pt>
                <c:pt idx="8">
                  <c:v>17291.397582325855</c:v>
                </c:pt>
                <c:pt idx="9">
                  <c:v>19997.058853584294</c:v>
                </c:pt>
                <c:pt idx="10">
                  <c:v>22927.330010044519</c:v>
                </c:pt>
                <c:pt idx="11">
                  <c:v>26081.351508457323</c:v>
                </c:pt>
                <c:pt idx="12">
                  <c:v>29505.326297568696</c:v>
                </c:pt>
                <c:pt idx="13">
                  <c:v>33116.154193844748</c:v>
                </c:pt>
                <c:pt idx="14">
                  <c:v>36982.982657509972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5-4BD1-A9D4-71A55F689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325296"/>
        <c:axId val="225322160"/>
      </c:barChart>
      <c:catAx>
        <c:axId val="22532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5322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322160"/>
        <c:scaling>
          <c:orientation val="minMax"/>
        </c:scaling>
        <c:delete val="0"/>
        <c:axPos val="l"/>
        <c:majorGridlines/>
        <c:numFmt formatCode="_-&quot;$&quot;* #,##0_-;[Red]\-&quot;$&quot;* #,##0_-;_-&quot;$&quot;* &quot;-&quot;??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532529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Holding Costs Year 15</a:t>
            </a:r>
          </a:p>
        </c:rich>
      </c:tx>
      <c:layout>
        <c:manualLayout>
          <c:xMode val="edge"/>
          <c:yMode val="edge"/>
          <c:x val="0.36823169603116546"/>
          <c:y val="4.8485135447061123E-2"/>
        </c:manualLayout>
      </c:layout>
      <c:overlay val="0"/>
    </c:title>
    <c:autoTitleDeleted val="0"/>
    <c:view3D>
      <c:rotX val="15"/>
      <c:rotY val="14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7473096008249674E-2"/>
          <c:y val="0.30909273847501467"/>
          <c:w val="0.772564538732053"/>
          <c:h val="0.5151545641250243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7"/>
            <c:extLst>
              <c:ext xmlns:c16="http://schemas.microsoft.com/office/drawing/2014/chart" uri="{C3380CC4-5D6E-409C-BE32-E72D297353CC}">
                <c16:uniqueId val="{00000000-B73E-4392-93EE-DCE41D121DC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B73E-4392-93EE-DCE41D121DC3}"/>
              </c:ext>
            </c:extLst>
          </c:dPt>
          <c:dPt>
            <c:idx val="2"/>
            <c:bubble3D val="0"/>
            <c:explosion val="13"/>
            <c:extLst>
              <c:ext xmlns:c16="http://schemas.microsoft.com/office/drawing/2014/chart" uri="{C3380CC4-5D6E-409C-BE32-E72D297353CC}">
                <c16:uniqueId val="{00000002-B73E-4392-93EE-DCE41D121DC3}"/>
              </c:ext>
            </c:extLst>
          </c:dPt>
          <c:dLbls>
            <c:dLbl>
              <c:idx val="1"/>
              <c:layout>
                <c:manualLayout>
                  <c:x val="-0.14493435087538345"/>
                  <c:y val="9.28862635670151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3E-4392-93EE-DCE41D121DC3}"/>
                </c:ext>
              </c:extLst>
            </c:dLbl>
            <c:dLbl>
              <c:idx val="2"/>
              <c:layout>
                <c:manualLayout>
                  <c:x val="0.10823417624025156"/>
                  <c:y val="-0.1928759958204231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3E-4392-93EE-DCE41D121DC3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Property 1'!$A$73:$A$75</c:f>
              <c:strCache>
                <c:ptCount val="3"/>
                <c:pt idx="0">
                  <c:v>Tenant</c:v>
                </c:pt>
                <c:pt idx="1">
                  <c:v>Tax Office</c:v>
                </c:pt>
                <c:pt idx="2">
                  <c:v>You</c:v>
                </c:pt>
              </c:strCache>
            </c:strRef>
          </c:cat>
          <c:val>
            <c:numRef>
              <c:f>'Data Property 1'!$Q$73:$Q$75</c:f>
              <c:numCache>
                <c:formatCode>_-"$"* #,##0_-;[Red]\-"$"* #,##0_-;_-"$"* "-"_-;_-@_-</c:formatCode>
                <c:ptCount val="3"/>
                <c:pt idx="0" formatCode="_-&quot;$&quot;* #,##0_-;\-&quot;$&quot;* #,##0_-;_-&quot;$&quot;* &quot;-&quot;??_-;_-@_-">
                  <c:v>26784.769505317137</c:v>
                </c:pt>
                <c:pt idx="1">
                  <c:v>0</c:v>
                </c:pt>
                <c:pt idx="2">
                  <c:v>65455.135727948291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3E-4392-93EE-DCE41D121DC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Cumulative Profit</a:t>
            </a:r>
          </a:p>
        </c:rich>
      </c:tx>
      <c:layout>
        <c:manualLayout>
          <c:xMode val="edge"/>
          <c:yMode val="edge"/>
          <c:x val="0.32227006184538837"/>
          <c:y val="3.74150095260387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17241379310344"/>
          <c:y val="0.24830014449187027"/>
          <c:w val="0.84413793103448276"/>
          <c:h val="0.6802743684708774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'Data Property 2'!$C$123:$Q$123</c:f>
              <c:numCache>
                <c:formatCode>_-"$"* #,##0_-;[Red]\-"$"* #,##0_-;_-"$"* "-"??_-;_-@_-</c:formatCode>
                <c:ptCount val="15"/>
                <c:pt idx="0">
                  <c:v>-3712.6724300195492</c:v>
                </c:pt>
                <c:pt idx="1">
                  <c:v>25167.952828400248</c:v>
                </c:pt>
                <c:pt idx="2">
                  <c:v>55753.653796074708</c:v>
                </c:pt>
                <c:pt idx="3">
                  <c:v>88179.08573226069</c:v>
                </c:pt>
                <c:pt idx="4">
                  <c:v>122602.09119476634</c:v>
                </c:pt>
                <c:pt idx="5">
                  <c:v>158966.31462003029</c:v>
                </c:pt>
                <c:pt idx="6">
                  <c:v>197575.34038145287</c:v>
                </c:pt>
                <c:pt idx="7">
                  <c:v>238560.98139600677</c:v>
                </c:pt>
                <c:pt idx="8">
                  <c:v>282097.09654788958</c:v>
                </c:pt>
                <c:pt idx="9">
                  <c:v>328261.09975708183</c:v>
                </c:pt>
                <c:pt idx="10">
                  <c:v>377257.21336775186</c:v>
                </c:pt>
                <c:pt idx="11">
                  <c:v>429241.02786762716</c:v>
                </c:pt>
                <c:pt idx="12">
                  <c:v>484424.58323828864</c:v>
                </c:pt>
                <c:pt idx="13">
                  <c:v>542900.56655100791</c:v>
                </c:pt>
                <c:pt idx="14">
                  <c:v>604924.45975610288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3-4C9F-B534-0FFA3AEC0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320984"/>
        <c:axId val="225326472"/>
      </c:barChart>
      <c:catAx>
        <c:axId val="22532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5326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326472"/>
        <c:scaling>
          <c:orientation val="minMax"/>
        </c:scaling>
        <c:delete val="0"/>
        <c:axPos val="l"/>
        <c:majorGridlines/>
        <c:numFmt formatCode="_-&quot;$&quot;* #,##0_-;[Red]\-&quot;$&quot;* #,##0_-;_-&quot;$&quot;* &quot;-&quot;??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532098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Holding Cost</a:t>
            </a:r>
          </a:p>
        </c:rich>
      </c:tx>
      <c:layout>
        <c:manualLayout>
          <c:xMode val="edge"/>
          <c:yMode val="edge"/>
          <c:x val="0.40108507231610008"/>
          <c:y val="4.245283018867924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14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840137089624327"/>
          <c:y val="0.30660377358490565"/>
          <c:w val="0.74796945918407853"/>
          <c:h val="0.5141509433962264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plosion val="17"/>
            <c:extLst>
              <c:ext xmlns:c16="http://schemas.microsoft.com/office/drawing/2014/chart" uri="{C3380CC4-5D6E-409C-BE32-E72D297353CC}">
                <c16:uniqueId val="{00000000-F606-409D-882D-96861E1BBFFA}"/>
              </c:ext>
            </c:extLst>
          </c:dPt>
          <c:dPt>
            <c:idx val="1"/>
            <c:bubble3D val="0"/>
            <c:spPr>
              <a:solidFill>
                <a:srgbClr val="6633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606-409D-882D-96861E1BBFFA}"/>
              </c:ext>
            </c:extLst>
          </c:dPt>
          <c:dPt>
            <c:idx val="2"/>
            <c:bubble3D val="0"/>
            <c:explosion val="13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606-409D-882D-96861E1BBFF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Property 3'!$A$73:$A$75</c:f>
              <c:strCache>
                <c:ptCount val="3"/>
                <c:pt idx="0">
                  <c:v>Tenant</c:v>
                </c:pt>
                <c:pt idx="1">
                  <c:v>Tax Office</c:v>
                </c:pt>
                <c:pt idx="2">
                  <c:v>You</c:v>
                </c:pt>
              </c:strCache>
            </c:strRef>
          </c:cat>
          <c:val>
            <c:numRef>
              <c:f>'Data Property 3'!$C$73:$C$75</c:f>
              <c:numCache>
                <c:formatCode>_-"$"* #,##0_-;[Red]\-"$"* #,##0_-;_-"$"* "-"_-;_-@_-</c:formatCode>
                <c:ptCount val="3"/>
                <c:pt idx="0" formatCode="_-&quot;$&quot;* #,##0_-;\-&quot;$&quot;* #,##0_-;_-&quot;$&quot;* &quot;-&quot;??_-;_-@_-">
                  <c:v>8457.1428571428569</c:v>
                </c:pt>
                <c:pt idx="1">
                  <c:v>0</c:v>
                </c:pt>
                <c:pt idx="2">
                  <c:v>48741.819420099884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6-409D-882D-96861E1BBFF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Holding Costs Year 15</a:t>
            </a:r>
          </a:p>
        </c:rich>
      </c:tx>
      <c:layout>
        <c:manualLayout>
          <c:xMode val="edge"/>
          <c:yMode val="edge"/>
          <c:x val="0.36823169603116546"/>
          <c:y val="4.8485135447061123E-2"/>
        </c:manualLayout>
      </c:layout>
      <c:overlay val="0"/>
    </c:title>
    <c:autoTitleDeleted val="0"/>
    <c:view3D>
      <c:rotX val="15"/>
      <c:rotY val="14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7473096008249674E-2"/>
          <c:y val="0.30909273847501467"/>
          <c:w val="0.772564538732053"/>
          <c:h val="0.5151545641250243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7"/>
            <c:extLst>
              <c:ext xmlns:c16="http://schemas.microsoft.com/office/drawing/2014/chart" uri="{C3380CC4-5D6E-409C-BE32-E72D297353CC}">
                <c16:uniqueId val="{00000000-B7A1-4DAB-8B24-D1C571ECEB6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B7A1-4DAB-8B24-D1C571ECEB69}"/>
              </c:ext>
            </c:extLst>
          </c:dPt>
          <c:dPt>
            <c:idx val="2"/>
            <c:bubble3D val="0"/>
            <c:explosion val="13"/>
            <c:extLst>
              <c:ext xmlns:c16="http://schemas.microsoft.com/office/drawing/2014/chart" uri="{C3380CC4-5D6E-409C-BE32-E72D297353CC}">
                <c16:uniqueId val="{00000002-B7A1-4DAB-8B24-D1C571ECEB69}"/>
              </c:ext>
            </c:extLst>
          </c:dPt>
          <c:dLbls>
            <c:dLbl>
              <c:idx val="1"/>
              <c:layout>
                <c:manualLayout>
                  <c:x val="-0.14493435087538345"/>
                  <c:y val="9.28862635670151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A1-4DAB-8B24-D1C571ECEB69}"/>
                </c:ext>
              </c:extLst>
            </c:dLbl>
            <c:dLbl>
              <c:idx val="2"/>
              <c:layout>
                <c:manualLayout>
                  <c:x val="0.10823417624025156"/>
                  <c:y val="-0.1928759958204231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A1-4DAB-8B24-D1C571ECEB6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Property 3'!$A$73:$A$75</c:f>
              <c:strCache>
                <c:ptCount val="3"/>
                <c:pt idx="0">
                  <c:v>Tenant</c:v>
                </c:pt>
                <c:pt idx="1">
                  <c:v>Tax Office</c:v>
                </c:pt>
                <c:pt idx="2">
                  <c:v>You</c:v>
                </c:pt>
              </c:strCache>
            </c:strRef>
          </c:cat>
          <c:val>
            <c:numRef>
              <c:f>'Data Property 3'!$Q$73:$Q$75</c:f>
              <c:numCache>
                <c:formatCode>_-"$"* #,##0_-;[Red]\-"$"* #,##0_-;_-"$"* "-"_-;_-@_-</c:formatCode>
                <c:ptCount val="3"/>
                <c:pt idx="0" formatCode="_-&quot;$&quot;* #,##0_-;\-&quot;$&quot;* #,##0_-;_-&quot;$&quot;* &quot;-&quot;??_-;_-@_-">
                  <c:v>31788.059213477904</c:v>
                </c:pt>
                <c:pt idx="1">
                  <c:v>0</c:v>
                </c:pt>
                <c:pt idx="2">
                  <c:v>63996.030280204228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A1-4DAB-8B24-D1C571ECEB6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Holding Costs Year 10</a:t>
            </a:r>
          </a:p>
        </c:rich>
      </c:tx>
      <c:layout>
        <c:manualLayout>
          <c:xMode val="edge"/>
          <c:yMode val="edge"/>
          <c:x val="0.21248707706127146"/>
          <c:y val="3.6462429710257017E-2"/>
        </c:manualLayout>
      </c:layout>
      <c:overlay val="0"/>
    </c:title>
    <c:autoTitleDeleted val="0"/>
    <c:view3D>
      <c:rotX val="15"/>
      <c:rotY val="14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29813023514311"/>
          <c:y val="0.29716981132075471"/>
          <c:w val="0.75880959627370292"/>
          <c:h val="0.52358490566037741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7"/>
            <c:extLst>
              <c:ext xmlns:c16="http://schemas.microsoft.com/office/drawing/2014/chart" uri="{C3380CC4-5D6E-409C-BE32-E72D297353CC}">
                <c16:uniqueId val="{00000000-DC1A-4E0C-AD27-057CD174F64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C1A-4E0C-AD27-057CD174F647}"/>
              </c:ext>
            </c:extLst>
          </c:dPt>
          <c:dPt>
            <c:idx val="2"/>
            <c:bubble3D val="0"/>
            <c:explosion val="13"/>
            <c:extLst>
              <c:ext xmlns:c16="http://schemas.microsoft.com/office/drawing/2014/chart" uri="{C3380CC4-5D6E-409C-BE32-E72D297353CC}">
                <c16:uniqueId val="{00000002-DC1A-4E0C-AD27-057CD174F647}"/>
              </c:ext>
            </c:extLst>
          </c:dPt>
          <c:dLbls>
            <c:dLbl>
              <c:idx val="1"/>
              <c:layout>
                <c:manualLayout>
                  <c:x val="0.11562218184265428"/>
                  <c:y val="-0.1518107419606037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1A-4E0C-AD27-057CD174F647}"/>
                </c:ext>
              </c:extLst>
            </c:dLbl>
            <c:dLbl>
              <c:idx val="2"/>
              <c:layout>
                <c:manualLayout>
                  <c:x val="-0.13648563160374183"/>
                  <c:y val="0.1018294434411101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1A-4E0C-AD27-057CD174F647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Property 3'!$A$73:$A$75</c:f>
              <c:strCache>
                <c:ptCount val="3"/>
                <c:pt idx="0">
                  <c:v>Tenant</c:v>
                </c:pt>
                <c:pt idx="1">
                  <c:v>Tax Office</c:v>
                </c:pt>
                <c:pt idx="2">
                  <c:v>You</c:v>
                </c:pt>
              </c:strCache>
            </c:strRef>
          </c:cat>
          <c:val>
            <c:numRef>
              <c:f>'Data Property 3'!$L$73:$L$75</c:f>
              <c:numCache>
                <c:formatCode>_-"$"* #,##0_-;[Red]\-"$"* #,##0_-;_-"$"* "-"_-;_-@_-</c:formatCode>
                <c:ptCount val="3"/>
                <c:pt idx="0" formatCode="_-&quot;$&quot;* #,##0_-;\-&quot;$&quot;* #,##0_-;_-&quot;$&quot;* &quot;-&quot;??_-;_-@_-">
                  <c:v>26178.859876368897</c:v>
                </c:pt>
                <c:pt idx="1">
                  <c:v>0</c:v>
                </c:pt>
                <c:pt idx="2">
                  <c:v>58399.253369129452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1A-4E0C-AD27-057CD174F64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Holding Costs Year 5</a:t>
            </a:r>
          </a:p>
        </c:rich>
      </c:tx>
      <c:layout>
        <c:manualLayout>
          <c:xMode val="edge"/>
          <c:yMode val="edge"/>
          <c:x val="0.21541552875510814"/>
          <c:y val="3.9130315690343552E-2"/>
        </c:manualLayout>
      </c:layout>
      <c:overlay val="0"/>
    </c:title>
    <c:autoTitleDeleted val="0"/>
    <c:view3D>
      <c:rotX val="15"/>
      <c:rotY val="9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695187165775401"/>
          <c:y val="0.31739130434782609"/>
          <c:w val="0.75133689839572193"/>
          <c:h val="0.48695652173913045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7"/>
            <c:extLst>
              <c:ext xmlns:c16="http://schemas.microsoft.com/office/drawing/2014/chart" uri="{C3380CC4-5D6E-409C-BE32-E72D297353CC}">
                <c16:uniqueId val="{00000000-2222-48F1-AE9C-6265347AA03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2222-48F1-AE9C-6265347AA03A}"/>
              </c:ext>
            </c:extLst>
          </c:dPt>
          <c:dPt>
            <c:idx val="2"/>
            <c:bubble3D val="0"/>
            <c:explosion val="13"/>
            <c:extLst>
              <c:ext xmlns:c16="http://schemas.microsoft.com/office/drawing/2014/chart" uri="{C3380CC4-5D6E-409C-BE32-E72D297353CC}">
                <c16:uniqueId val="{00000002-2222-48F1-AE9C-6265347AA03A}"/>
              </c:ext>
            </c:extLst>
          </c:dPt>
          <c:dLbls>
            <c:dLbl>
              <c:idx val="1"/>
              <c:layout>
                <c:manualLayout>
                  <c:x val="-6.9539468957806688E-2"/>
                  <c:y val="-0.1839104897707579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22-48F1-AE9C-6265347AA03A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Property 3'!$A$73:$A$75</c:f>
              <c:strCache>
                <c:ptCount val="3"/>
                <c:pt idx="0">
                  <c:v>Tenant</c:v>
                </c:pt>
                <c:pt idx="1">
                  <c:v>Tax Office</c:v>
                </c:pt>
                <c:pt idx="2">
                  <c:v>You</c:v>
                </c:pt>
              </c:strCache>
            </c:strRef>
          </c:cat>
          <c:val>
            <c:numRef>
              <c:f>'Data Property 3'!$G$73:$G$75</c:f>
              <c:numCache>
                <c:formatCode>_-"$"* #,##0_-;[Red]\-"$"* #,##0_-;_-"$"* "-"_-;_-@_-</c:formatCode>
                <c:ptCount val="3"/>
                <c:pt idx="0" formatCode="_-&quot;$&quot;* #,##0_-;\-&quot;$&quot;* #,##0_-;_-&quot;$&quot;* &quot;-&quot;??_-;_-@_-">
                  <c:v>21620.861300100376</c:v>
                </c:pt>
                <c:pt idx="1">
                  <c:v>0</c:v>
                </c:pt>
                <c:pt idx="2">
                  <c:v>52743.51786738848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22-48F1-AE9C-6265347AA03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Holding Costs Year 1</a:t>
            </a:r>
          </a:p>
          <a:p>
            <a:pPr>
              <a:defRPr/>
            </a:pPr>
            <a:endParaRPr lang="en-AU"/>
          </a:p>
        </c:rich>
      </c:tx>
      <c:layout>
        <c:manualLayout>
          <c:xMode val="edge"/>
          <c:yMode val="edge"/>
          <c:x val="0.25103412133769126"/>
          <c:y val="3.9130276788317632E-2"/>
        </c:manualLayout>
      </c:layout>
      <c:overlay val="0"/>
    </c:title>
    <c:autoTitleDeleted val="0"/>
    <c:view3D>
      <c:rotX val="15"/>
      <c:rotY val="9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379679144385027"/>
          <c:y val="0.29565217391304349"/>
          <c:w val="0.73529411764705888"/>
          <c:h val="0.47391304347826085"/>
        </c:manualLayout>
      </c:layout>
      <c:pie3DChart>
        <c:varyColors val="1"/>
        <c:ser>
          <c:idx val="0"/>
          <c:order val="0"/>
          <c:explosion val="7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DDA-4B81-A2DA-A40D352966A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FDDA-4B81-A2DA-A40D352966A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FDDA-4B81-A2DA-A40D352966A2}"/>
              </c:ext>
            </c:extLst>
          </c:dPt>
          <c:dLbls>
            <c:dLbl>
              <c:idx val="1"/>
              <c:layout>
                <c:manualLayout>
                  <c:x val="-3.8895068990135284E-2"/>
                  <c:y val="-0.2143076797822724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DA-4B81-A2DA-A40D352966A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Property 3'!$A$73:$A$75</c:f>
              <c:strCache>
                <c:ptCount val="3"/>
                <c:pt idx="0">
                  <c:v>Tenant</c:v>
                </c:pt>
                <c:pt idx="1">
                  <c:v>Tax Office</c:v>
                </c:pt>
                <c:pt idx="2">
                  <c:v>You</c:v>
                </c:pt>
              </c:strCache>
            </c:strRef>
          </c:cat>
          <c:val>
            <c:numRef>
              <c:f>'Data Property 3'!$C$73:$C$75</c:f>
              <c:numCache>
                <c:formatCode>_-"$"* #,##0_-;[Red]\-"$"* #,##0_-;_-"$"* "-"_-;_-@_-</c:formatCode>
                <c:ptCount val="3"/>
                <c:pt idx="0" formatCode="_-&quot;$&quot;* #,##0_-;\-&quot;$&quot;* #,##0_-;_-&quot;$&quot;* &quot;-&quot;??_-;_-@_-">
                  <c:v>8457.1428571428569</c:v>
                </c:pt>
                <c:pt idx="1">
                  <c:v>0</c:v>
                </c:pt>
                <c:pt idx="2">
                  <c:v>48741.819420099884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DA-4B81-A2DA-A40D352966A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Total Profit Per Year</a:t>
            </a:r>
          </a:p>
        </c:rich>
      </c:tx>
      <c:layout>
        <c:manualLayout>
          <c:xMode val="edge"/>
          <c:yMode val="edge"/>
          <c:x val="0.39310344827586208"/>
          <c:y val="3.7415090265898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17241379310344"/>
          <c:y val="0.24830014449187027"/>
          <c:w val="0.84413793103448276"/>
          <c:h val="0.6802743684708774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'Data Property 3'!$C$122:$Q$122</c:f>
              <c:numCache>
                <c:formatCode>_-"$"* #,##0_-;[Red]\-"$"* #,##0_-;_-"$"* "-"??_-;_-@_-</c:formatCode>
                <c:ptCount val="15"/>
                <c:pt idx="0">
                  <c:v>-11290.137365305345</c:v>
                </c:pt>
                <c:pt idx="1">
                  <c:v>24296.356352096809</c:v>
                </c:pt>
                <c:pt idx="2">
                  <c:v>26390.519599714513</c:v>
                </c:pt>
                <c:pt idx="3">
                  <c:v>28629.951131791058</c:v>
                </c:pt>
                <c:pt idx="4">
                  <c:v>31059.794447860826</c:v>
                </c:pt>
                <c:pt idx="5">
                  <c:v>33528.886414981389</c:v>
                </c:pt>
                <c:pt idx="6">
                  <c:v>36350.665206041347</c:v>
                </c:pt>
                <c:pt idx="7">
                  <c:v>39312.882054383444</c:v>
                </c:pt>
                <c:pt idx="8">
                  <c:v>42500.28479668354</c:v>
                </c:pt>
                <c:pt idx="9">
                  <c:v>45892.637229280575</c:v>
                </c:pt>
                <c:pt idx="10">
                  <c:v>49561.389016133806</c:v>
                </c:pt>
                <c:pt idx="11">
                  <c:v>53395.213915198299</c:v>
                </c:pt>
                <c:pt idx="12">
                  <c:v>57517.987238179689</c:v>
                </c:pt>
                <c:pt idx="13">
                  <c:v>61901.270386315489</c:v>
                </c:pt>
                <c:pt idx="14">
                  <c:v>66643.370392133045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2-49D6-BEB2-4E46F6CA1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326080"/>
        <c:axId val="225326864"/>
      </c:barChart>
      <c:catAx>
        <c:axId val="22532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5326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326864"/>
        <c:scaling>
          <c:orientation val="minMax"/>
        </c:scaling>
        <c:delete val="0"/>
        <c:axPos val="l"/>
        <c:majorGridlines/>
        <c:numFmt formatCode="_-&quot;$&quot;* #,##0_-;[Red]\-&quot;$&quot;* #,##0_-;_-&quot;$&quot;* &quot;-&quot;??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532608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After Tax Cash Flow</a:t>
            </a:r>
          </a:p>
        </c:rich>
      </c:tx>
      <c:layout>
        <c:manualLayout>
          <c:xMode val="edge"/>
          <c:yMode val="edge"/>
          <c:x val="0.39310344827586208"/>
          <c:y val="3.7415090265898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17241379310344"/>
          <c:y val="0.24830014449187027"/>
          <c:w val="0.84413793103448276"/>
          <c:h val="0.6802743684708774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'Data Property 3'!$C$119:$Q$119</c:f>
              <c:numCache>
                <c:formatCode>_-"$"* #,##0_-;[Red]\-"$"* #,##0_-;_-"$"* "-"??_-;_-@_-</c:formatCode>
                <c:ptCount val="15"/>
                <c:pt idx="0">
                  <c:v>-1809.5894200998755</c:v>
                </c:pt>
                <c:pt idx="1">
                  <c:v>-1021.2052917388137</c:v>
                </c:pt>
                <c:pt idx="2">
                  <c:v>-699.27135918962449</c:v>
                </c:pt>
                <c:pt idx="3">
                  <c:v>-356.12519423633785</c:v>
                </c:pt>
                <c:pt idx="4">
                  <c:v>44.692779011529638</c:v>
                </c:pt>
                <c:pt idx="5">
                  <c:v>342.72762931260513</c:v>
                </c:pt>
                <c:pt idx="6">
                  <c:v>841.47530537579951</c:v>
                </c:pt>
                <c:pt idx="7">
                  <c:v>1318.0488606712715</c:v>
                </c:pt>
                <c:pt idx="8">
                  <c:v>1845.8132794114827</c:v>
                </c:pt>
                <c:pt idx="9">
                  <c:v>2392.3527057995343</c:v>
                </c:pt>
                <c:pt idx="10">
                  <c:v>3016.0845760090306</c:v>
                </c:pt>
                <c:pt idx="11">
                  <c:v>3591.7381642647852</c:v>
                </c:pt>
                <c:pt idx="12">
                  <c:v>4228.2681846808664</c:v>
                </c:pt>
                <c:pt idx="13">
                  <c:v>4881.2709990717267</c:v>
                </c:pt>
                <c:pt idx="14">
                  <c:v>5631.9710477822482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9-4B2A-AFA5-4E1B1A1BD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458232"/>
        <c:axId val="226458624"/>
      </c:barChart>
      <c:catAx>
        <c:axId val="22645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6458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458624"/>
        <c:scaling>
          <c:orientation val="minMax"/>
        </c:scaling>
        <c:delete val="0"/>
        <c:axPos val="l"/>
        <c:majorGridlines/>
        <c:numFmt formatCode="_-&quot;$&quot;* #,##0_-;[Red]\-&quot;$&quot;* #,##0_-;_-&quot;$&quot;* &quot;-&quot;??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645823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Property Value</a:t>
            </a:r>
          </a:p>
        </c:rich>
      </c:tx>
      <c:layout>
        <c:manualLayout>
          <c:xMode val="edge"/>
          <c:yMode val="edge"/>
          <c:x val="0.39310344827586208"/>
          <c:y val="3.7415090265898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17241379310344"/>
          <c:y val="0.24830014449187027"/>
          <c:w val="0.84413793103448276"/>
          <c:h val="0.68027436847087741"/>
        </c:manualLayout>
      </c:layout>
      <c:areaChart>
        <c:grouping val="stacked"/>
        <c:varyColors val="0"/>
        <c:ser>
          <c:idx val="0"/>
          <c:order val="0"/>
          <c:val>
            <c:numRef>
              <c:f>'Data Property 3'!$C$102:$Q$102</c:f>
              <c:numCache>
                <c:formatCode>_-* #,##0_-;\-* #,##0_-;_-* "-"??_-;_-@_-</c:formatCode>
                <c:ptCount val="15"/>
                <c:pt idx="0">
                  <c:v>361679.45205479453</c:v>
                </c:pt>
                <c:pt idx="1">
                  <c:v>386997.01369863015</c:v>
                </c:pt>
                <c:pt idx="2">
                  <c:v>414086.80465753429</c:v>
                </c:pt>
                <c:pt idx="3">
                  <c:v>443072.88098356168</c:v>
                </c:pt>
                <c:pt idx="4">
                  <c:v>474087.98265241098</c:v>
                </c:pt>
                <c:pt idx="5">
                  <c:v>507274.14143807977</c:v>
                </c:pt>
                <c:pt idx="6">
                  <c:v>542783.33133874531</c:v>
                </c:pt>
                <c:pt idx="7">
                  <c:v>580778.16453245748</c:v>
                </c:pt>
                <c:pt idx="8">
                  <c:v>621432.63604972954</c:v>
                </c:pt>
                <c:pt idx="9">
                  <c:v>664932.92057321058</c:v>
                </c:pt>
                <c:pt idx="10">
                  <c:v>711478.22501333535</c:v>
                </c:pt>
                <c:pt idx="11">
                  <c:v>761281.70076426887</c:v>
                </c:pt>
                <c:pt idx="12">
                  <c:v>814571.41981776769</c:v>
                </c:pt>
                <c:pt idx="13">
                  <c:v>871591.41920501145</c:v>
                </c:pt>
                <c:pt idx="14">
                  <c:v>932602.81854936224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D-416B-971F-3CAE8ED7C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57056"/>
        <c:axId val="226455880"/>
      </c:areaChart>
      <c:catAx>
        <c:axId val="22645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6455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4558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6457056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Cumulative Cash Flow</a:t>
            </a:r>
          </a:p>
        </c:rich>
      </c:tx>
      <c:layout>
        <c:manualLayout>
          <c:xMode val="edge"/>
          <c:yMode val="edge"/>
          <c:x val="0.25930712259987365"/>
          <c:y val="3.74150095260387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17241379310344"/>
          <c:y val="0.24830014449187027"/>
          <c:w val="0.84413793103448276"/>
          <c:h val="0.6802743684708774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'Data Property 3'!$C$120:$Q$120</c:f>
              <c:numCache>
                <c:formatCode>_-"$"* #,##0_-;[Red]\-"$"* #,##0_-;_-"$"* "-"??_-;_-@_-</c:formatCode>
                <c:ptCount val="15"/>
                <c:pt idx="0">
                  <c:v>-1809.5894200998755</c:v>
                </c:pt>
                <c:pt idx="1">
                  <c:v>-2830.7947118386892</c:v>
                </c:pt>
                <c:pt idx="2">
                  <c:v>-3530.0660710283137</c:v>
                </c:pt>
                <c:pt idx="3">
                  <c:v>-3886.1912652646515</c:v>
                </c:pt>
                <c:pt idx="4">
                  <c:v>-3841.4984862531219</c:v>
                </c:pt>
                <c:pt idx="5">
                  <c:v>-3498.7708569405168</c:v>
                </c:pt>
                <c:pt idx="6">
                  <c:v>-2657.2955515647172</c:v>
                </c:pt>
                <c:pt idx="7">
                  <c:v>-1339.2466908934457</c:v>
                </c:pt>
                <c:pt idx="8">
                  <c:v>506.56658851803695</c:v>
                </c:pt>
                <c:pt idx="9">
                  <c:v>2898.9192943175713</c:v>
                </c:pt>
                <c:pt idx="10">
                  <c:v>5915.0038703266018</c:v>
                </c:pt>
                <c:pt idx="11">
                  <c:v>9506.742034591387</c:v>
                </c:pt>
                <c:pt idx="12">
                  <c:v>13735.010219272253</c:v>
                </c:pt>
                <c:pt idx="13">
                  <c:v>18616.281218343982</c:v>
                </c:pt>
                <c:pt idx="14">
                  <c:v>24248.25226612623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F-4791-9DC0-A0C9149F2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459016"/>
        <c:axId val="226452744"/>
      </c:barChart>
      <c:catAx>
        <c:axId val="226459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6452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452744"/>
        <c:scaling>
          <c:orientation val="minMax"/>
        </c:scaling>
        <c:delete val="0"/>
        <c:axPos val="l"/>
        <c:majorGridlines/>
        <c:numFmt formatCode="_-&quot;$&quot;* #,##0_-;[Red]\-&quot;$&quot;* #,##0_-;_-&quot;$&quot;* &quot;-&quot;??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645901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Holding Costs Year 10</a:t>
            </a:r>
          </a:p>
        </c:rich>
      </c:tx>
      <c:layout>
        <c:manualLayout>
          <c:xMode val="edge"/>
          <c:yMode val="edge"/>
          <c:x val="0.21248707706127146"/>
          <c:y val="3.6462429710257017E-2"/>
        </c:manualLayout>
      </c:layout>
      <c:overlay val="0"/>
    </c:title>
    <c:autoTitleDeleted val="0"/>
    <c:view3D>
      <c:rotX val="15"/>
      <c:rotY val="14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29813023514311"/>
          <c:y val="0.29716981132075471"/>
          <c:w val="0.75880959627370292"/>
          <c:h val="0.52358490566037741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7"/>
            <c:extLst>
              <c:ext xmlns:c16="http://schemas.microsoft.com/office/drawing/2014/chart" uri="{C3380CC4-5D6E-409C-BE32-E72D297353CC}">
                <c16:uniqueId val="{00000000-3C06-4380-B92E-74A68B605F4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3C06-4380-B92E-74A68B605F4F}"/>
              </c:ext>
            </c:extLst>
          </c:dPt>
          <c:dPt>
            <c:idx val="2"/>
            <c:bubble3D val="0"/>
            <c:explosion val="13"/>
            <c:extLst>
              <c:ext xmlns:c16="http://schemas.microsoft.com/office/drawing/2014/chart" uri="{C3380CC4-5D6E-409C-BE32-E72D297353CC}">
                <c16:uniqueId val="{00000002-3C06-4380-B92E-74A68B605F4F}"/>
              </c:ext>
            </c:extLst>
          </c:dPt>
          <c:dLbls>
            <c:dLbl>
              <c:idx val="1"/>
              <c:layout>
                <c:manualLayout>
                  <c:x val="0.11562218184265428"/>
                  <c:y val="-0.1518107419606037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06-4380-B92E-74A68B605F4F}"/>
                </c:ext>
              </c:extLst>
            </c:dLbl>
            <c:dLbl>
              <c:idx val="2"/>
              <c:layout>
                <c:manualLayout>
                  <c:x val="-0.13648563160374183"/>
                  <c:y val="0.1018294434411101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06-4380-B92E-74A68B605F4F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Property 1'!$A$73:$A$75</c:f>
              <c:strCache>
                <c:ptCount val="3"/>
                <c:pt idx="0">
                  <c:v>Tenant</c:v>
                </c:pt>
                <c:pt idx="1">
                  <c:v>Tax Office</c:v>
                </c:pt>
                <c:pt idx="2">
                  <c:v>You</c:v>
                </c:pt>
              </c:strCache>
            </c:strRef>
          </c:cat>
          <c:val>
            <c:numRef>
              <c:f>'Data Property 1'!$L$73:$L$75</c:f>
              <c:numCache>
                <c:formatCode>_-"$"* #,##0_-;[Red]\-"$"* #,##0_-;_-"$"* "-"_-;_-@_-</c:formatCode>
                <c:ptCount val="3"/>
                <c:pt idx="0" formatCode="_-&quot;$&quot;* #,##0_-;\-&quot;$&quot;* #,##0_-;_-&quot;$&quot;* &quot;-&quot;??_-;_-@_-">
                  <c:v>22616.308079192469</c:v>
                </c:pt>
                <c:pt idx="1">
                  <c:v>0</c:v>
                </c:pt>
                <c:pt idx="2">
                  <c:v>58570.53055023175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06-4380-B92E-74A68B605F4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Cumulative Profit</a:t>
            </a:r>
          </a:p>
        </c:rich>
      </c:tx>
      <c:layout>
        <c:manualLayout>
          <c:xMode val="edge"/>
          <c:yMode val="edge"/>
          <c:x val="0.32227006184538837"/>
          <c:y val="3.74150095260387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17241379310344"/>
          <c:y val="0.24830014449187027"/>
          <c:w val="0.84413793103448276"/>
          <c:h val="0.6802743684708774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'Data Property 3'!$C$123:$Q$123</c:f>
              <c:numCache>
                <c:formatCode>_-"$"* #,##0_-;[Red]\-"$"* #,##0_-;_-"$"* "-"??_-;_-@_-</c:formatCode>
                <c:ptCount val="15"/>
                <c:pt idx="0">
                  <c:v>-11290.137365305345</c:v>
                </c:pt>
                <c:pt idx="1">
                  <c:v>13006.218986791464</c:v>
                </c:pt>
                <c:pt idx="2">
                  <c:v>39396.738586505977</c:v>
                </c:pt>
                <c:pt idx="3">
                  <c:v>68026.689718297042</c:v>
                </c:pt>
                <c:pt idx="4">
                  <c:v>99086.484166157868</c:v>
                </c:pt>
                <c:pt idx="5">
                  <c:v>132615.37058113926</c:v>
                </c:pt>
                <c:pt idx="6">
                  <c:v>168966.03578718059</c:v>
                </c:pt>
                <c:pt idx="7">
                  <c:v>208278.91784156405</c:v>
                </c:pt>
                <c:pt idx="8">
                  <c:v>250779.20263824757</c:v>
                </c:pt>
                <c:pt idx="9">
                  <c:v>296671.83986752818</c:v>
                </c:pt>
                <c:pt idx="10">
                  <c:v>346233.22888366197</c:v>
                </c:pt>
                <c:pt idx="11">
                  <c:v>399628.44279886025</c:v>
                </c:pt>
                <c:pt idx="12">
                  <c:v>457146.43003703991</c:v>
                </c:pt>
                <c:pt idx="13">
                  <c:v>519047.70042335539</c:v>
                </c:pt>
                <c:pt idx="14">
                  <c:v>585691.07081548846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F-4D31-9A52-DDD645CB4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456272"/>
        <c:axId val="226456664"/>
      </c:barChart>
      <c:catAx>
        <c:axId val="22645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6456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456664"/>
        <c:scaling>
          <c:orientation val="minMax"/>
        </c:scaling>
        <c:delete val="0"/>
        <c:axPos val="l"/>
        <c:majorGridlines/>
        <c:numFmt formatCode="_-&quot;$&quot;* #,##0_-;[Red]\-&quot;$&quot;* #,##0_-;_-&quot;$&quot;* &quot;-&quot;??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645627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Holding Cost</a:t>
            </a:r>
          </a:p>
        </c:rich>
      </c:tx>
      <c:layout>
        <c:manualLayout>
          <c:xMode val="edge"/>
          <c:yMode val="edge"/>
          <c:x val="0.40108507231610008"/>
          <c:y val="4.245283018867924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14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840137089624327"/>
          <c:y val="0.30660377358490565"/>
          <c:w val="0.74796945918407853"/>
          <c:h val="0.5141509433962264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plosion val="17"/>
            <c:extLst>
              <c:ext xmlns:c16="http://schemas.microsoft.com/office/drawing/2014/chart" uri="{C3380CC4-5D6E-409C-BE32-E72D297353CC}">
                <c16:uniqueId val="{00000000-0DE3-401F-BF2C-2A34F9236FD0}"/>
              </c:ext>
            </c:extLst>
          </c:dPt>
          <c:dPt>
            <c:idx val="1"/>
            <c:bubble3D val="0"/>
            <c:spPr>
              <a:solidFill>
                <a:srgbClr val="6633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DE3-401F-BF2C-2A34F9236FD0}"/>
              </c:ext>
            </c:extLst>
          </c:dPt>
          <c:dPt>
            <c:idx val="2"/>
            <c:bubble3D val="0"/>
            <c:explosion val="13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DE3-401F-BF2C-2A34F9236FD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Property 4'!$A$73:$A$75</c:f>
              <c:strCache>
                <c:ptCount val="3"/>
                <c:pt idx="0">
                  <c:v>Tenant</c:v>
                </c:pt>
                <c:pt idx="1">
                  <c:v>Tax Office</c:v>
                </c:pt>
                <c:pt idx="2">
                  <c:v>You</c:v>
                </c:pt>
              </c:strCache>
            </c:strRef>
          </c:cat>
          <c:val>
            <c:numRef>
              <c:f>'Data Property 4'!$C$73:$C$75</c:f>
              <c:numCache>
                <c:formatCode>_-"$"* #,##0_-;[Red]\-"$"* #,##0_-;_-"$"* "-"_-;_-@_-</c:formatCode>
                <c:ptCount val="3"/>
                <c:pt idx="0" formatCode="_-&quot;$&quot;* #,##0_-;\-&quot;$&quot;* #,##0_-;_-&quot;$&quot;* &quot;-&quot;??_-;_-@_-">
                  <c:v>12571.428571428572</c:v>
                </c:pt>
                <c:pt idx="1">
                  <c:v>0</c:v>
                </c:pt>
                <c:pt idx="2">
                  <c:v>48563.758600665373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E3-401F-BF2C-2A34F9236FD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Holding Costs Year 15</a:t>
            </a:r>
          </a:p>
        </c:rich>
      </c:tx>
      <c:layout>
        <c:manualLayout>
          <c:xMode val="edge"/>
          <c:yMode val="edge"/>
          <c:x val="0.36823169603116546"/>
          <c:y val="4.8485135447061123E-2"/>
        </c:manualLayout>
      </c:layout>
      <c:overlay val="0"/>
    </c:title>
    <c:autoTitleDeleted val="0"/>
    <c:view3D>
      <c:rotX val="15"/>
      <c:rotY val="14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7473096008249674E-2"/>
          <c:y val="0.30909273847501467"/>
          <c:w val="0.772564538732053"/>
          <c:h val="0.5151545641250243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7"/>
            <c:extLst>
              <c:ext xmlns:c16="http://schemas.microsoft.com/office/drawing/2014/chart" uri="{C3380CC4-5D6E-409C-BE32-E72D297353CC}">
                <c16:uniqueId val="{00000000-8740-4C0A-BA58-8E22A0B69CD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740-4C0A-BA58-8E22A0B69CDE}"/>
              </c:ext>
            </c:extLst>
          </c:dPt>
          <c:dPt>
            <c:idx val="2"/>
            <c:bubble3D val="0"/>
            <c:explosion val="13"/>
            <c:extLst>
              <c:ext xmlns:c16="http://schemas.microsoft.com/office/drawing/2014/chart" uri="{C3380CC4-5D6E-409C-BE32-E72D297353CC}">
                <c16:uniqueId val="{00000002-8740-4C0A-BA58-8E22A0B69CDE}"/>
              </c:ext>
            </c:extLst>
          </c:dPt>
          <c:dLbls>
            <c:dLbl>
              <c:idx val="1"/>
              <c:layout>
                <c:manualLayout>
                  <c:x val="-0.14493435087538345"/>
                  <c:y val="9.28862635670151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40-4C0A-BA58-8E22A0B69CDE}"/>
                </c:ext>
              </c:extLst>
            </c:dLbl>
            <c:dLbl>
              <c:idx val="2"/>
              <c:layout>
                <c:manualLayout>
                  <c:x val="0.10823417624025156"/>
                  <c:y val="-0.1928759958204231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40-4C0A-BA58-8E22A0B69CD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Property 4'!$A$73:$A$75</c:f>
              <c:strCache>
                <c:ptCount val="3"/>
                <c:pt idx="0">
                  <c:v>Tenant</c:v>
                </c:pt>
                <c:pt idx="1">
                  <c:v>Tax Office</c:v>
                </c:pt>
                <c:pt idx="2">
                  <c:v>You</c:v>
                </c:pt>
              </c:strCache>
            </c:strRef>
          </c:cat>
          <c:val>
            <c:numRef>
              <c:f>'Data Property 4'!$Q$73:$Q$75</c:f>
              <c:numCache>
                <c:formatCode>_-"$"* #,##0_-;[Red]\-"$"* #,##0_-;_-"$"* "-"_-;_-@_-</c:formatCode>
                <c:ptCount val="3"/>
                <c:pt idx="0" formatCode="_-&quot;$&quot;* #,##0_-;\-&quot;$&quot;* #,##0_-;_-&quot;$&quot;* &quot;-&quot;??_-;_-@_-">
                  <c:v>38967.799448426493</c:v>
                </c:pt>
                <c:pt idx="1">
                  <c:v>0</c:v>
                </c:pt>
                <c:pt idx="2">
                  <c:v>67767.726761588914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40-4C0A-BA58-8E22A0B69CD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Holding Costs Year 10</a:t>
            </a:r>
          </a:p>
        </c:rich>
      </c:tx>
      <c:layout>
        <c:manualLayout>
          <c:xMode val="edge"/>
          <c:yMode val="edge"/>
          <c:x val="0.21248707706127146"/>
          <c:y val="3.6462429710257017E-2"/>
        </c:manualLayout>
      </c:layout>
      <c:overlay val="0"/>
    </c:title>
    <c:autoTitleDeleted val="0"/>
    <c:view3D>
      <c:rotX val="15"/>
      <c:rotY val="14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29813023514311"/>
          <c:y val="0.29716981132075471"/>
          <c:w val="0.75880959627370292"/>
          <c:h val="0.52358490566037741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7"/>
            <c:extLst>
              <c:ext xmlns:c16="http://schemas.microsoft.com/office/drawing/2014/chart" uri="{C3380CC4-5D6E-409C-BE32-E72D297353CC}">
                <c16:uniqueId val="{00000000-A289-4E5B-ADB4-4AA06AB774D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289-4E5B-ADB4-4AA06AB774DD}"/>
              </c:ext>
            </c:extLst>
          </c:dPt>
          <c:dPt>
            <c:idx val="2"/>
            <c:bubble3D val="0"/>
            <c:explosion val="13"/>
            <c:extLst>
              <c:ext xmlns:c16="http://schemas.microsoft.com/office/drawing/2014/chart" uri="{C3380CC4-5D6E-409C-BE32-E72D297353CC}">
                <c16:uniqueId val="{00000002-A289-4E5B-ADB4-4AA06AB774DD}"/>
              </c:ext>
            </c:extLst>
          </c:dPt>
          <c:dLbls>
            <c:dLbl>
              <c:idx val="1"/>
              <c:layout>
                <c:manualLayout>
                  <c:x val="0.11562218184265428"/>
                  <c:y val="-0.1518107419606037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89-4E5B-ADB4-4AA06AB774DD}"/>
                </c:ext>
              </c:extLst>
            </c:dLbl>
            <c:dLbl>
              <c:idx val="2"/>
              <c:layout>
                <c:manualLayout>
                  <c:x val="-0.13648563160374183"/>
                  <c:y val="0.1018294434411101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89-4E5B-ADB4-4AA06AB774DD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Property 4'!$A$73:$A$75</c:f>
              <c:strCache>
                <c:ptCount val="3"/>
                <c:pt idx="0">
                  <c:v>Tenant</c:v>
                </c:pt>
                <c:pt idx="1">
                  <c:v>Tax Office</c:v>
                </c:pt>
                <c:pt idx="2">
                  <c:v>You</c:v>
                </c:pt>
              </c:strCache>
            </c:strRef>
          </c:cat>
          <c:val>
            <c:numRef>
              <c:f>'Data Property 4'!$L$73:$L$75</c:f>
              <c:numCache>
                <c:formatCode>_-"$"* #,##0_-;[Red]\-"$"* #,##0_-;_-"$"* "-"_-;_-@_-</c:formatCode>
                <c:ptCount val="3"/>
                <c:pt idx="0" formatCode="_-&quot;$&quot;* #,##0_-;\-&quot;$&quot;* #,##0_-;_-&quot;$&quot;* &quot;-&quot;??_-;_-@_-">
                  <c:v>34539.981568838288</c:v>
                </c:pt>
                <c:pt idx="1">
                  <c:v>0</c:v>
                </c:pt>
                <c:pt idx="2">
                  <c:v>61222.379885422277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89-4E5B-ADB4-4AA06AB774D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Holding Costs Year 5</a:t>
            </a:r>
          </a:p>
        </c:rich>
      </c:tx>
      <c:layout>
        <c:manualLayout>
          <c:xMode val="edge"/>
          <c:yMode val="edge"/>
          <c:x val="0.21541552875510814"/>
          <c:y val="3.9130315690343552E-2"/>
        </c:manualLayout>
      </c:layout>
      <c:overlay val="0"/>
    </c:title>
    <c:autoTitleDeleted val="0"/>
    <c:view3D>
      <c:rotX val="15"/>
      <c:rotY val="9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695187165775401"/>
          <c:y val="0.31739130434782609"/>
          <c:w val="0.75133689839572193"/>
          <c:h val="0.48695652173913045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7"/>
            <c:extLst>
              <c:ext xmlns:c16="http://schemas.microsoft.com/office/drawing/2014/chart" uri="{C3380CC4-5D6E-409C-BE32-E72D297353CC}">
                <c16:uniqueId val="{00000000-F8E2-4FEB-9AB6-344F5D1239D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F8E2-4FEB-9AB6-344F5D1239D0}"/>
              </c:ext>
            </c:extLst>
          </c:dPt>
          <c:dPt>
            <c:idx val="2"/>
            <c:bubble3D val="0"/>
            <c:explosion val="13"/>
            <c:extLst>
              <c:ext xmlns:c16="http://schemas.microsoft.com/office/drawing/2014/chart" uri="{C3380CC4-5D6E-409C-BE32-E72D297353CC}">
                <c16:uniqueId val="{00000002-F8E2-4FEB-9AB6-344F5D1239D0}"/>
              </c:ext>
            </c:extLst>
          </c:dPt>
          <c:dLbls>
            <c:dLbl>
              <c:idx val="1"/>
              <c:layout>
                <c:manualLayout>
                  <c:x val="-6.9539468957806688E-2"/>
                  <c:y val="-0.1839104897707579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E2-4FEB-9AB6-344F5D1239D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Property 4'!$A$73:$A$75</c:f>
              <c:strCache>
                <c:ptCount val="3"/>
                <c:pt idx="0">
                  <c:v>Tenant</c:v>
                </c:pt>
                <c:pt idx="1">
                  <c:v>Tax Office</c:v>
                </c:pt>
                <c:pt idx="2">
                  <c:v>You</c:v>
                </c:pt>
              </c:strCache>
            </c:strRef>
          </c:cat>
          <c:val>
            <c:numRef>
              <c:f>'Data Property 4'!$G$73:$G$75</c:f>
              <c:numCache>
                <c:formatCode>_-"$"* #,##0_-;[Red]\-"$"* #,##0_-;_-"$"* "-"_-;_-@_-</c:formatCode>
                <c:ptCount val="3"/>
                <c:pt idx="0" formatCode="_-&quot;$&quot;* #,##0_-;\-&quot;$&quot;* #,##0_-;_-&quot;$&quot;* &quot;-&quot;??_-;_-@_-">
                  <c:v>30441.582647879462</c:v>
                </c:pt>
                <c:pt idx="1">
                  <c:v>0</c:v>
                </c:pt>
                <c:pt idx="2">
                  <c:v>55089.652994917873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E2-4FEB-9AB6-344F5D1239D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Holding Costs Year 1</a:t>
            </a:r>
          </a:p>
          <a:p>
            <a:pPr>
              <a:defRPr/>
            </a:pPr>
            <a:endParaRPr lang="en-AU"/>
          </a:p>
        </c:rich>
      </c:tx>
      <c:layout>
        <c:manualLayout>
          <c:xMode val="edge"/>
          <c:yMode val="edge"/>
          <c:x val="0.25103412133769126"/>
          <c:y val="3.9130276788317632E-2"/>
        </c:manualLayout>
      </c:layout>
      <c:overlay val="0"/>
    </c:title>
    <c:autoTitleDeleted val="0"/>
    <c:view3D>
      <c:rotX val="15"/>
      <c:rotY val="9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379679144385027"/>
          <c:y val="0.29565217391304349"/>
          <c:w val="0.73529411764705888"/>
          <c:h val="0.47391304347826085"/>
        </c:manualLayout>
      </c:layout>
      <c:pie3DChart>
        <c:varyColors val="1"/>
        <c:ser>
          <c:idx val="0"/>
          <c:order val="0"/>
          <c:explosion val="7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F0B-4C17-8825-530B9895B8C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F0B-4C17-8825-530B9895B8C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DF0B-4C17-8825-530B9895B8C9}"/>
              </c:ext>
            </c:extLst>
          </c:dPt>
          <c:dLbls>
            <c:dLbl>
              <c:idx val="1"/>
              <c:layout>
                <c:manualLayout>
                  <c:x val="-3.8895068990135284E-2"/>
                  <c:y val="-0.2143076797822724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0B-4C17-8825-530B9895B8C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Property 4'!$A$73:$A$75</c:f>
              <c:strCache>
                <c:ptCount val="3"/>
                <c:pt idx="0">
                  <c:v>Tenant</c:v>
                </c:pt>
                <c:pt idx="1">
                  <c:v>Tax Office</c:v>
                </c:pt>
                <c:pt idx="2">
                  <c:v>You</c:v>
                </c:pt>
              </c:strCache>
            </c:strRef>
          </c:cat>
          <c:val>
            <c:numRef>
              <c:f>'Data Property 4'!$C$73:$C$75</c:f>
              <c:numCache>
                <c:formatCode>_-"$"* #,##0_-;[Red]\-"$"* #,##0_-;_-"$"* "-"_-;_-@_-</c:formatCode>
                <c:ptCount val="3"/>
                <c:pt idx="0" formatCode="_-&quot;$&quot;* #,##0_-;\-&quot;$&quot;* #,##0_-;_-&quot;$&quot;* &quot;-&quot;??_-;_-@_-">
                  <c:v>12571.428571428572</c:v>
                </c:pt>
                <c:pt idx="1">
                  <c:v>0</c:v>
                </c:pt>
                <c:pt idx="2">
                  <c:v>48563.758600665373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0B-4C17-8825-530B9895B8C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Total Profit Per Year</a:t>
            </a:r>
          </a:p>
        </c:rich>
      </c:tx>
      <c:layout>
        <c:manualLayout>
          <c:xMode val="edge"/>
          <c:yMode val="edge"/>
          <c:x val="0.39310344827586208"/>
          <c:y val="3.7415090265898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17241379310344"/>
          <c:y val="0.24830014449187027"/>
          <c:w val="0.84413793103448276"/>
          <c:h val="0.6802743684708774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'Data Property 4'!$C$122:$Q$122</c:f>
              <c:numCache>
                <c:formatCode>_-"$"* #,##0_-;[Red]\-"$"* #,##0_-;_-"$"* "-"??_-;_-@_-</c:formatCode>
                <c:ptCount val="15"/>
                <c:pt idx="0">
                  <c:v>1806.8275637182232</c:v>
                </c:pt>
                <c:pt idx="1">
                  <c:v>49855.911356854267</c:v>
                </c:pt>
                <c:pt idx="2">
                  <c:v>53309.87393121724</c:v>
                </c:pt>
                <c:pt idx="3">
                  <c:v>56994.00153724305</c:v>
                </c:pt>
                <c:pt idx="4">
                  <c:v>60912.805397410957</c:v>
                </c:pt>
                <c:pt idx="5">
                  <c:v>64939.153784388705</c:v>
                </c:pt>
                <c:pt idx="6">
                  <c:v>69343.146495704059</c:v>
                </c:pt>
                <c:pt idx="7">
                  <c:v>74006.659704252408</c:v>
                </c:pt>
                <c:pt idx="8">
                  <c:v>78939.887639356995</c:v>
                </c:pt>
                <c:pt idx="9">
                  <c:v>84164.149391851621</c:v>
                </c:pt>
                <c:pt idx="10">
                  <c:v>89671.731351843831</c:v>
                </c:pt>
                <c:pt idx="11">
                  <c:v>95501.989074381505</c:v>
                </c:pt>
                <c:pt idx="12">
                  <c:v>101665.08924615567</c:v>
                </c:pt>
                <c:pt idx="13">
                  <c:v>108193.92914855093</c:v>
                </c:pt>
                <c:pt idx="14">
                  <c:v>115067.36453088329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B-4AE9-AF46-D4DF97DFF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454312"/>
        <c:axId val="226454704"/>
      </c:barChart>
      <c:catAx>
        <c:axId val="226454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6454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454704"/>
        <c:scaling>
          <c:orientation val="minMax"/>
        </c:scaling>
        <c:delete val="0"/>
        <c:axPos val="l"/>
        <c:majorGridlines/>
        <c:numFmt formatCode="_-&quot;$&quot;* #,##0_-;[Red]\-&quot;$&quot;* #,##0_-;_-&quot;$&quot;* &quot;-&quot;??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645431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After Tax Cash Flow</a:t>
            </a:r>
          </a:p>
        </c:rich>
      </c:tx>
      <c:layout>
        <c:manualLayout>
          <c:xMode val="edge"/>
          <c:yMode val="edge"/>
          <c:x val="0.39310344827586208"/>
          <c:y val="3.7415090265898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17241379310344"/>
          <c:y val="0.24830014449187027"/>
          <c:w val="0.84413793103448276"/>
          <c:h val="0.6802743684708774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'Data Property 4'!$C$119:$Q$119</c:f>
              <c:numCache>
                <c:formatCode>_-"$"* #,##0_-;[Red]\-"$"* #,##0_-;_-"$"* "-"??_-;_-@_-</c:formatCode>
                <c:ptCount val="15"/>
                <c:pt idx="0">
                  <c:v>-1631.528600665366</c:v>
                </c:pt>
                <c:pt idx="1">
                  <c:v>-3219.9900130088063</c:v>
                </c:pt>
                <c:pt idx="2">
                  <c:v>-2950.5815208374952</c:v>
                </c:pt>
                <c:pt idx="3">
                  <c:v>-2642.0812419351169</c:v>
                </c:pt>
                <c:pt idx="4">
                  <c:v>-2301.4423485178631</c:v>
                </c:pt>
                <c:pt idx="5">
                  <c:v>-2067.9488262957566</c:v>
                </c:pt>
                <c:pt idx="6">
                  <c:v>-1684.3822716213908</c:v>
                </c:pt>
                <c:pt idx="7">
                  <c:v>-1282.5207891126338</c:v>
                </c:pt>
                <c:pt idx="8">
                  <c:v>-866.64368361002926</c:v>
                </c:pt>
                <c:pt idx="9">
                  <c:v>-430.77381049328687</c:v>
                </c:pt>
                <c:pt idx="10">
                  <c:v>1.1127573580233729</c:v>
                </c:pt>
                <c:pt idx="11">
                  <c:v>451.13336422663633</c:v>
                </c:pt>
                <c:pt idx="12">
                  <c:v>911.18219339146162</c:v>
                </c:pt>
                <c:pt idx="13">
                  <c:v>1394.7876726208196</c:v>
                </c:pt>
                <c:pt idx="14">
                  <c:v>1860.2745663975584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1-4D63-B195-B32658D88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466304"/>
        <c:axId val="227460424"/>
      </c:barChart>
      <c:catAx>
        <c:axId val="2274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7460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460424"/>
        <c:scaling>
          <c:orientation val="minMax"/>
        </c:scaling>
        <c:delete val="0"/>
        <c:axPos val="l"/>
        <c:majorGridlines/>
        <c:numFmt formatCode="_-&quot;$&quot;* #,##0_-;[Red]\-&quot;$&quot;* #,##0_-;_-&quot;$&quot;* &quot;-&quot;??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746630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Property Value</a:t>
            </a:r>
          </a:p>
        </c:rich>
      </c:tx>
      <c:layout>
        <c:manualLayout>
          <c:xMode val="edge"/>
          <c:yMode val="edge"/>
          <c:x val="0.39310344827586208"/>
          <c:y val="3.7415090265898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17241379310344"/>
          <c:y val="0.24830014449187027"/>
          <c:w val="0.84413793103448276"/>
          <c:h val="0.68027436847087741"/>
        </c:manualLayout>
      </c:layout>
      <c:areaChart>
        <c:grouping val="stacked"/>
        <c:varyColors val="0"/>
        <c:ser>
          <c:idx val="0"/>
          <c:order val="0"/>
          <c:val>
            <c:numRef>
              <c:f>'Data Property 4'!$C$102:$Q$102</c:f>
              <c:numCache>
                <c:formatCode>_-* #,##0_-;\-* #,##0_-;_-* "-"??_-;_-@_-</c:formatCode>
                <c:ptCount val="15"/>
                <c:pt idx="0">
                  <c:v>884598.35616438359</c:v>
                </c:pt>
                <c:pt idx="1">
                  <c:v>937674.25753424666</c:v>
                </c:pt>
                <c:pt idx="2">
                  <c:v>993934.7129863014</c:v>
                </c:pt>
                <c:pt idx="3">
                  <c:v>1053570.7957654796</c:v>
                </c:pt>
                <c:pt idx="4">
                  <c:v>1116785.0435114084</c:v>
                </c:pt>
                <c:pt idx="5">
                  <c:v>1183792.1461220928</c:v>
                </c:pt>
                <c:pt idx="6">
                  <c:v>1254819.6748894183</c:v>
                </c:pt>
                <c:pt idx="7">
                  <c:v>1330108.8553827833</c:v>
                </c:pt>
                <c:pt idx="8">
                  <c:v>1409915.3867057504</c:v>
                </c:pt>
                <c:pt idx="9">
                  <c:v>1494510.3099080953</c:v>
                </c:pt>
                <c:pt idx="10">
                  <c:v>1584180.9285025811</c:v>
                </c:pt>
                <c:pt idx="11">
                  <c:v>1679231.7842127359</c:v>
                </c:pt>
                <c:pt idx="12">
                  <c:v>1779985.6912655002</c:v>
                </c:pt>
                <c:pt idx="13">
                  <c:v>1886784.8327414303</c:v>
                </c:pt>
                <c:pt idx="14">
                  <c:v>1999991.922705916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6-4453-8B81-02B89587A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61600"/>
        <c:axId val="227460816"/>
      </c:areaChart>
      <c:catAx>
        <c:axId val="22746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7460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4608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7461600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Cumulative Cash Flow</a:t>
            </a:r>
          </a:p>
        </c:rich>
      </c:tx>
      <c:layout>
        <c:manualLayout>
          <c:xMode val="edge"/>
          <c:yMode val="edge"/>
          <c:x val="0.25930712259987365"/>
          <c:y val="3.74150095260387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17241379310344"/>
          <c:y val="0.24830014449187027"/>
          <c:w val="0.84413793103448276"/>
          <c:h val="0.6802743684708774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'Data Property 4'!$C$120:$Q$120</c:f>
              <c:numCache>
                <c:formatCode>_-"$"* #,##0_-;[Red]\-"$"* #,##0_-;_-"$"* "-"??_-;_-@_-</c:formatCode>
                <c:ptCount val="15"/>
                <c:pt idx="0">
                  <c:v>-1631.528600665366</c:v>
                </c:pt>
                <c:pt idx="1">
                  <c:v>-4851.5186136741722</c:v>
                </c:pt>
                <c:pt idx="2">
                  <c:v>-7802.1001345116674</c:v>
                </c:pt>
                <c:pt idx="3">
                  <c:v>-10444.181376446784</c:v>
                </c:pt>
                <c:pt idx="4">
                  <c:v>-12745.623724964647</c:v>
                </c:pt>
                <c:pt idx="5">
                  <c:v>-14813.572551260404</c:v>
                </c:pt>
                <c:pt idx="6">
                  <c:v>-16497.954822881795</c:v>
                </c:pt>
                <c:pt idx="7">
                  <c:v>-17780.475611994429</c:v>
                </c:pt>
                <c:pt idx="8">
                  <c:v>-18647.119295604458</c:v>
                </c:pt>
                <c:pt idx="9">
                  <c:v>-19077.893106097745</c:v>
                </c:pt>
                <c:pt idx="10">
                  <c:v>-19076.780348739721</c:v>
                </c:pt>
                <c:pt idx="11">
                  <c:v>-18625.646984513085</c:v>
                </c:pt>
                <c:pt idx="12">
                  <c:v>-17714.464791121623</c:v>
                </c:pt>
                <c:pt idx="13">
                  <c:v>-16319.677118500804</c:v>
                </c:pt>
                <c:pt idx="14">
                  <c:v>-14459.402552103245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8-4D8F-8A06-044EC1533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460032"/>
        <c:axId val="227463168"/>
      </c:barChart>
      <c:catAx>
        <c:axId val="22746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746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463168"/>
        <c:scaling>
          <c:orientation val="minMax"/>
        </c:scaling>
        <c:delete val="0"/>
        <c:axPos val="l"/>
        <c:majorGridlines/>
        <c:numFmt formatCode="_-&quot;$&quot;* #,##0_-;[Red]\-&quot;$&quot;* #,##0_-;_-&quot;$&quot;* &quot;-&quot;??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746003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Holding Costs Year 5</a:t>
            </a:r>
          </a:p>
        </c:rich>
      </c:tx>
      <c:layout>
        <c:manualLayout>
          <c:xMode val="edge"/>
          <c:yMode val="edge"/>
          <c:x val="0.21541552875510814"/>
          <c:y val="3.9130315690343552E-2"/>
        </c:manualLayout>
      </c:layout>
      <c:overlay val="0"/>
    </c:title>
    <c:autoTitleDeleted val="0"/>
    <c:view3D>
      <c:rotX val="15"/>
      <c:rotY val="9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695187165775401"/>
          <c:y val="0.31739130434782609"/>
          <c:w val="0.75133689839572193"/>
          <c:h val="0.48695652173913045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7"/>
            <c:extLst>
              <c:ext xmlns:c16="http://schemas.microsoft.com/office/drawing/2014/chart" uri="{C3380CC4-5D6E-409C-BE32-E72D297353CC}">
                <c16:uniqueId val="{00000000-A911-44B9-AEE4-1D4D18788D7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911-44B9-AEE4-1D4D18788D7B}"/>
              </c:ext>
            </c:extLst>
          </c:dPt>
          <c:dPt>
            <c:idx val="2"/>
            <c:bubble3D val="0"/>
            <c:explosion val="13"/>
            <c:extLst>
              <c:ext xmlns:c16="http://schemas.microsoft.com/office/drawing/2014/chart" uri="{C3380CC4-5D6E-409C-BE32-E72D297353CC}">
                <c16:uniqueId val="{00000002-A911-44B9-AEE4-1D4D18788D7B}"/>
              </c:ext>
            </c:extLst>
          </c:dPt>
          <c:dLbls>
            <c:dLbl>
              <c:idx val="1"/>
              <c:layout>
                <c:manualLayout>
                  <c:x val="-6.9539468957806688E-2"/>
                  <c:y val="-0.1839104897707579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11-44B9-AEE4-1D4D18788D7B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Property 1'!$A$73:$A$75</c:f>
              <c:strCache>
                <c:ptCount val="3"/>
                <c:pt idx="0">
                  <c:v>Tenant</c:v>
                </c:pt>
                <c:pt idx="1">
                  <c:v>Tax Office</c:v>
                </c:pt>
                <c:pt idx="2">
                  <c:v>You</c:v>
                </c:pt>
              </c:strCache>
            </c:strRef>
          </c:cat>
          <c:val>
            <c:numRef>
              <c:f>'Data Property 1'!$G$73:$G$75</c:f>
              <c:numCache>
                <c:formatCode>_-"$"* #,##0_-;[Red]\-"$"* #,##0_-;_-"$"* "-"_-;_-@_-</c:formatCode>
                <c:ptCount val="3"/>
                <c:pt idx="0" formatCode="_-&quot;$&quot;* #,##0_-;\-&quot;$&quot;* #,##0_-;_-&quot;$&quot;* &quot;-&quot;??_-;_-@_-">
                  <c:v>18988.227023199102</c:v>
                </c:pt>
                <c:pt idx="1">
                  <c:v>0</c:v>
                </c:pt>
                <c:pt idx="2">
                  <c:v>51989.352382483106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11-44B9-AEE4-1D4D18788D7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Cumulative Profit</a:t>
            </a:r>
          </a:p>
        </c:rich>
      </c:tx>
      <c:layout>
        <c:manualLayout>
          <c:xMode val="edge"/>
          <c:yMode val="edge"/>
          <c:x val="0.32227006184538837"/>
          <c:y val="3.74150095260387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17241379310344"/>
          <c:y val="0.24830014449187027"/>
          <c:w val="0.84413793103448276"/>
          <c:h val="0.6802743684708774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'Data Property 4'!$C$123:$Q$123</c:f>
              <c:numCache>
                <c:formatCode>_-"$"* #,##0_-;[Red]\-"$"* #,##0_-;_-"$"* "-"??_-;_-@_-</c:formatCode>
                <c:ptCount val="15"/>
                <c:pt idx="0">
                  <c:v>1806.8275637182232</c:v>
                </c:pt>
                <c:pt idx="1">
                  <c:v>51662.73892057249</c:v>
                </c:pt>
                <c:pt idx="2">
                  <c:v>104972.61285178973</c:v>
                </c:pt>
                <c:pt idx="3">
                  <c:v>161966.61438903277</c:v>
                </c:pt>
                <c:pt idx="4">
                  <c:v>222879.41978644373</c:v>
                </c:pt>
                <c:pt idx="5">
                  <c:v>287818.57357083244</c:v>
                </c:pt>
                <c:pt idx="6">
                  <c:v>357161.72006653651</c:v>
                </c:pt>
                <c:pt idx="7">
                  <c:v>431168.37977078895</c:v>
                </c:pt>
                <c:pt idx="8">
                  <c:v>510108.26741014596</c:v>
                </c:pt>
                <c:pt idx="9">
                  <c:v>594272.41680199758</c:v>
                </c:pt>
                <c:pt idx="10">
                  <c:v>683944.14815384138</c:v>
                </c:pt>
                <c:pt idx="11">
                  <c:v>779446.13722822291</c:v>
                </c:pt>
                <c:pt idx="12">
                  <c:v>881111.22647437861</c:v>
                </c:pt>
                <c:pt idx="13">
                  <c:v>989305.15562292957</c:v>
                </c:pt>
                <c:pt idx="14">
                  <c:v>1104372.5201538128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8-44C8-A669-3E3485220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464344"/>
        <c:axId val="227461992"/>
      </c:barChart>
      <c:catAx>
        <c:axId val="227464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7461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461992"/>
        <c:scaling>
          <c:orientation val="minMax"/>
        </c:scaling>
        <c:delete val="0"/>
        <c:axPos val="l"/>
        <c:majorGridlines/>
        <c:numFmt formatCode="_-&quot;$&quot;* #,##0_-;[Red]\-&quot;$&quot;* #,##0_-;_-&quot;$&quot;* &quot;-&quot;??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746434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Holding Cost</a:t>
            </a:r>
          </a:p>
        </c:rich>
      </c:tx>
      <c:layout>
        <c:manualLayout>
          <c:xMode val="edge"/>
          <c:yMode val="edge"/>
          <c:x val="0.40108507231610008"/>
          <c:y val="4.245283018867924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14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840137089624327"/>
          <c:y val="0.30660377358490565"/>
          <c:w val="0.74796945918407853"/>
          <c:h val="0.5141509433962264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plosion val="17"/>
            <c:extLst>
              <c:ext xmlns:c16="http://schemas.microsoft.com/office/drawing/2014/chart" uri="{C3380CC4-5D6E-409C-BE32-E72D297353CC}">
                <c16:uniqueId val="{00000000-00FD-490B-ADE7-0A201B11AB79}"/>
              </c:ext>
            </c:extLst>
          </c:dPt>
          <c:dPt>
            <c:idx val="1"/>
            <c:bubble3D val="0"/>
            <c:spPr>
              <a:solidFill>
                <a:srgbClr val="6633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0FD-490B-ADE7-0A201B11AB79}"/>
              </c:ext>
            </c:extLst>
          </c:dPt>
          <c:dPt>
            <c:idx val="2"/>
            <c:bubble3D val="0"/>
            <c:explosion val="13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0FD-490B-ADE7-0A201B11AB7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Property 5'!$A$73:$A$75</c:f>
              <c:strCache>
                <c:ptCount val="3"/>
                <c:pt idx="0">
                  <c:v>Tenant</c:v>
                </c:pt>
                <c:pt idx="1">
                  <c:v>Tax Office</c:v>
                </c:pt>
                <c:pt idx="2">
                  <c:v>You</c:v>
                </c:pt>
              </c:strCache>
            </c:strRef>
          </c:cat>
          <c:val>
            <c:numRef>
              <c:f>'Data Property 5'!$C$73:$C$75</c:f>
              <c:numCache>
                <c:formatCode>_-"$"* #,##0_-;[Red]\-"$"* #,##0_-;_-"$"* "-"_-;_-@_-</c:formatCode>
                <c:ptCount val="3"/>
                <c:pt idx="0" formatCode="_-&quot;$&quot;* #,##0_-;\-&quot;$&quot;* #,##0_-;_-&quot;$&quot;* &quot;-&quot;??_-;_-@_-">
                  <c:v>5257.1428571428569</c:v>
                </c:pt>
                <c:pt idx="1">
                  <c:v>0</c:v>
                </c:pt>
                <c:pt idx="2">
                  <c:v>45614.008269549915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FD-490B-ADE7-0A201B11AB7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Holding Costs Year 15</a:t>
            </a:r>
          </a:p>
        </c:rich>
      </c:tx>
      <c:layout>
        <c:manualLayout>
          <c:xMode val="edge"/>
          <c:yMode val="edge"/>
          <c:x val="0.36823169603116546"/>
          <c:y val="4.8485135447061123E-2"/>
        </c:manualLayout>
      </c:layout>
      <c:overlay val="0"/>
    </c:title>
    <c:autoTitleDeleted val="0"/>
    <c:view3D>
      <c:rotX val="15"/>
      <c:rotY val="14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7473096008249674E-2"/>
          <c:y val="0.30909273847501467"/>
          <c:w val="0.772564538732053"/>
          <c:h val="0.5151545641250243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7"/>
            <c:extLst>
              <c:ext xmlns:c16="http://schemas.microsoft.com/office/drawing/2014/chart" uri="{C3380CC4-5D6E-409C-BE32-E72D297353CC}">
                <c16:uniqueId val="{00000000-40C1-48E5-87E7-F747E248570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40C1-48E5-87E7-F747E248570A}"/>
              </c:ext>
            </c:extLst>
          </c:dPt>
          <c:dPt>
            <c:idx val="2"/>
            <c:bubble3D val="0"/>
            <c:explosion val="13"/>
            <c:extLst>
              <c:ext xmlns:c16="http://schemas.microsoft.com/office/drawing/2014/chart" uri="{C3380CC4-5D6E-409C-BE32-E72D297353CC}">
                <c16:uniqueId val="{00000002-40C1-48E5-87E7-F747E248570A}"/>
              </c:ext>
            </c:extLst>
          </c:dPt>
          <c:dLbls>
            <c:dLbl>
              <c:idx val="1"/>
              <c:layout>
                <c:manualLayout>
                  <c:x val="-0.14493435087538345"/>
                  <c:y val="9.28862635670151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C1-48E5-87E7-F747E248570A}"/>
                </c:ext>
              </c:extLst>
            </c:dLbl>
            <c:dLbl>
              <c:idx val="2"/>
              <c:layout>
                <c:manualLayout>
                  <c:x val="0.10823417624025156"/>
                  <c:y val="-0.1928759958204231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C1-48E5-87E7-F747E248570A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Property 5'!$A$73:$A$75</c:f>
              <c:strCache>
                <c:ptCount val="3"/>
                <c:pt idx="0">
                  <c:v>Tenant</c:v>
                </c:pt>
                <c:pt idx="1">
                  <c:v>Tax Office</c:v>
                </c:pt>
                <c:pt idx="2">
                  <c:v>You</c:v>
                </c:pt>
              </c:strCache>
            </c:strRef>
          </c:cat>
          <c:val>
            <c:numRef>
              <c:f>'Data Property 5'!$Q$73:$Q$75</c:f>
              <c:numCache>
                <c:formatCode>_-"$"* #,##0_-;[Red]\-"$"* #,##0_-;_-"$"* "-"_-;_-@_-</c:formatCode>
                <c:ptCount val="3"/>
                <c:pt idx="0" formatCode="_-&quot;$&quot;* #,##0_-;\-&quot;$&quot;* #,##0_-;_-&quot;$&quot;* &quot;-&quot;??_-;_-@_-">
                  <c:v>18668.172685524067</c:v>
                </c:pt>
                <c:pt idx="1">
                  <c:v>0</c:v>
                </c:pt>
                <c:pt idx="2">
                  <c:v>66573.650898672364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C1-48E5-87E7-F747E248570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Holding Costs Year 10</a:t>
            </a:r>
          </a:p>
        </c:rich>
      </c:tx>
      <c:layout>
        <c:manualLayout>
          <c:xMode val="edge"/>
          <c:yMode val="edge"/>
          <c:x val="0.21248707706127146"/>
          <c:y val="3.6462429710257017E-2"/>
        </c:manualLayout>
      </c:layout>
      <c:overlay val="0"/>
    </c:title>
    <c:autoTitleDeleted val="0"/>
    <c:view3D>
      <c:rotX val="15"/>
      <c:rotY val="14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29813023514311"/>
          <c:y val="0.29716981132075471"/>
          <c:w val="0.75880959627370292"/>
          <c:h val="0.52358490566037741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7"/>
            <c:extLst>
              <c:ext xmlns:c16="http://schemas.microsoft.com/office/drawing/2014/chart" uri="{C3380CC4-5D6E-409C-BE32-E72D297353CC}">
                <c16:uniqueId val="{00000000-9881-451E-BF8E-466270F266E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9881-451E-BF8E-466270F266EF}"/>
              </c:ext>
            </c:extLst>
          </c:dPt>
          <c:dPt>
            <c:idx val="2"/>
            <c:bubble3D val="0"/>
            <c:explosion val="13"/>
            <c:extLst>
              <c:ext xmlns:c16="http://schemas.microsoft.com/office/drawing/2014/chart" uri="{C3380CC4-5D6E-409C-BE32-E72D297353CC}">
                <c16:uniqueId val="{00000002-9881-451E-BF8E-466270F266EF}"/>
              </c:ext>
            </c:extLst>
          </c:dPt>
          <c:dLbls>
            <c:dLbl>
              <c:idx val="1"/>
              <c:layout>
                <c:manualLayout>
                  <c:x val="0.11562218184265428"/>
                  <c:y val="-0.1518107419606037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81-451E-BF8E-466270F266EF}"/>
                </c:ext>
              </c:extLst>
            </c:dLbl>
            <c:dLbl>
              <c:idx val="2"/>
              <c:layout>
                <c:manualLayout>
                  <c:x val="-0.13648563160374183"/>
                  <c:y val="0.1018294434411101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81-451E-BF8E-466270F266EF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Property 5'!$A$73:$A$75</c:f>
              <c:strCache>
                <c:ptCount val="3"/>
                <c:pt idx="0">
                  <c:v>Tenant</c:v>
                </c:pt>
                <c:pt idx="1">
                  <c:v>Tax Office</c:v>
                </c:pt>
                <c:pt idx="2">
                  <c:v>You</c:v>
                </c:pt>
              </c:strCache>
            </c:strRef>
          </c:cat>
          <c:val>
            <c:numRef>
              <c:f>'Data Property 5'!$L$73:$L$75</c:f>
              <c:numCache>
                <c:formatCode>_-"$"* #,##0_-;[Red]\-"$"* #,##0_-;_-"$"* "-"_-;_-@_-</c:formatCode>
                <c:ptCount val="3"/>
                <c:pt idx="0" formatCode="_-&quot;$&quot;* #,##0_-;\-&quot;$&quot;* #,##0_-;_-&quot;$&quot;* &quot;-&quot;??_-;_-@_-">
                  <c:v>15762.881388528087</c:v>
                </c:pt>
                <c:pt idx="1">
                  <c:v>0</c:v>
                </c:pt>
                <c:pt idx="2">
                  <c:v>58543.534710809821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81-451E-BF8E-466270F266E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Holding Costs Year 5</a:t>
            </a:r>
          </a:p>
        </c:rich>
      </c:tx>
      <c:layout>
        <c:manualLayout>
          <c:xMode val="edge"/>
          <c:yMode val="edge"/>
          <c:x val="0.21541552875510814"/>
          <c:y val="3.9130315690343552E-2"/>
        </c:manualLayout>
      </c:layout>
      <c:overlay val="0"/>
    </c:title>
    <c:autoTitleDeleted val="0"/>
    <c:view3D>
      <c:rotX val="15"/>
      <c:rotY val="9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695187165775401"/>
          <c:y val="0.31739130434782609"/>
          <c:w val="0.75133689839572193"/>
          <c:h val="0.48695652173913045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7"/>
            <c:extLst>
              <c:ext xmlns:c16="http://schemas.microsoft.com/office/drawing/2014/chart" uri="{C3380CC4-5D6E-409C-BE32-E72D297353CC}">
                <c16:uniqueId val="{00000000-6C65-408A-A0F9-A98B789E211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C65-408A-A0F9-A98B789E211A}"/>
              </c:ext>
            </c:extLst>
          </c:dPt>
          <c:dPt>
            <c:idx val="2"/>
            <c:bubble3D val="0"/>
            <c:explosion val="13"/>
            <c:extLst>
              <c:ext xmlns:c16="http://schemas.microsoft.com/office/drawing/2014/chart" uri="{C3380CC4-5D6E-409C-BE32-E72D297353CC}">
                <c16:uniqueId val="{00000002-6C65-408A-A0F9-A98B789E211A}"/>
              </c:ext>
            </c:extLst>
          </c:dPt>
          <c:dLbls>
            <c:dLbl>
              <c:idx val="1"/>
              <c:layout>
                <c:manualLayout>
                  <c:x val="-6.9539468957806688E-2"/>
                  <c:y val="-0.1839104897707579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65-408A-A0F9-A98B789E211A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Property 5'!$A$73:$A$75</c:f>
              <c:strCache>
                <c:ptCount val="3"/>
                <c:pt idx="0">
                  <c:v>Tenant</c:v>
                </c:pt>
                <c:pt idx="1">
                  <c:v>Tax Office</c:v>
                </c:pt>
                <c:pt idx="2">
                  <c:v>You</c:v>
                </c:pt>
              </c:strCache>
            </c:strRef>
          </c:cat>
          <c:val>
            <c:numRef>
              <c:f>'Data Property 5'!$G$73:$G$75</c:f>
              <c:numCache>
                <c:formatCode>_-"$"* #,##0_-;[Red]\-"$"* #,##0_-;_-"$"* "-"_-;_-@_-</c:formatCode>
                <c:ptCount val="3"/>
                <c:pt idx="0" formatCode="_-&quot;$&quot;* #,##0_-;\-&quot;$&quot;* #,##0_-;_-&quot;$&quot;* &quot;-&quot;??_-;_-@_-">
                  <c:v>13234.21883435089</c:v>
                </c:pt>
                <c:pt idx="1">
                  <c:v>0</c:v>
                </c:pt>
                <c:pt idx="2">
                  <c:v>50996.186019205459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65-408A-A0F9-A98B789E211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Holding Costs Year 1</a:t>
            </a:r>
          </a:p>
          <a:p>
            <a:pPr>
              <a:defRPr/>
            </a:pPr>
            <a:endParaRPr lang="en-AU"/>
          </a:p>
        </c:rich>
      </c:tx>
      <c:layout>
        <c:manualLayout>
          <c:xMode val="edge"/>
          <c:yMode val="edge"/>
          <c:x val="0.25103412133769126"/>
          <c:y val="3.9130276788317632E-2"/>
        </c:manualLayout>
      </c:layout>
      <c:overlay val="0"/>
    </c:title>
    <c:autoTitleDeleted val="0"/>
    <c:view3D>
      <c:rotX val="15"/>
      <c:rotY val="9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379679144385027"/>
          <c:y val="0.29565217391304349"/>
          <c:w val="0.73529411764705888"/>
          <c:h val="0.47391304347826085"/>
        </c:manualLayout>
      </c:layout>
      <c:pie3DChart>
        <c:varyColors val="1"/>
        <c:ser>
          <c:idx val="0"/>
          <c:order val="0"/>
          <c:explosion val="7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F6C-4B71-A16C-D2F03803B4A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F6C-4B71-A16C-D2F03803B4A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0F6C-4B71-A16C-D2F03803B4AB}"/>
              </c:ext>
            </c:extLst>
          </c:dPt>
          <c:dLbls>
            <c:dLbl>
              <c:idx val="1"/>
              <c:layout>
                <c:manualLayout>
                  <c:x val="-3.8895068990135284E-2"/>
                  <c:y val="-0.2143076797822724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F6C-4B71-A16C-D2F03803B4AB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Property 5'!$A$73:$A$75</c:f>
              <c:strCache>
                <c:ptCount val="3"/>
                <c:pt idx="0">
                  <c:v>Tenant</c:v>
                </c:pt>
                <c:pt idx="1">
                  <c:v>Tax Office</c:v>
                </c:pt>
                <c:pt idx="2">
                  <c:v>You</c:v>
                </c:pt>
              </c:strCache>
            </c:strRef>
          </c:cat>
          <c:val>
            <c:numRef>
              <c:f>'Data Property 5'!$C$73:$C$75</c:f>
              <c:numCache>
                <c:formatCode>_-"$"* #,##0_-;[Red]\-"$"* #,##0_-;_-"$"* "-"_-;_-@_-</c:formatCode>
                <c:ptCount val="3"/>
                <c:pt idx="0" formatCode="_-&quot;$&quot;* #,##0_-;\-&quot;$&quot;* #,##0_-;_-&quot;$&quot;* &quot;-&quot;??_-;_-@_-">
                  <c:v>5257.1428571428569</c:v>
                </c:pt>
                <c:pt idx="1">
                  <c:v>0</c:v>
                </c:pt>
                <c:pt idx="2">
                  <c:v>45614.008269549915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6C-4B71-A16C-D2F03803B4A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Total Profit Per Year</a:t>
            </a:r>
          </a:p>
        </c:rich>
      </c:tx>
      <c:layout>
        <c:manualLayout>
          <c:xMode val="edge"/>
          <c:yMode val="edge"/>
          <c:x val="0.39310344827586208"/>
          <c:y val="3.7415090265898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17241379310344"/>
          <c:y val="0.24830014449187027"/>
          <c:w val="0.84413793103448276"/>
          <c:h val="0.6802743684708774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'Data Property 5'!$C$122:$Q$122</c:f>
              <c:numCache>
                <c:formatCode>_-"$"* #,##0_-;[Red]\-"$"* #,##0_-;_-"$"* "-"??_-;_-@_-</c:formatCode>
                <c:ptCount val="15"/>
                <c:pt idx="0">
                  <c:v>-16790.819365440329</c:v>
                </c:pt>
                <c:pt idx="1">
                  <c:v>8224.6052684001988</c:v>
                </c:pt>
                <c:pt idx="2">
                  <c:v>8474.0469263591822</c:v>
                </c:pt>
                <c:pt idx="3">
                  <c:v>8781.2055183119373</c:v>
                </c:pt>
                <c:pt idx="4">
                  <c:v>9128.4307806630568</c:v>
                </c:pt>
                <c:pt idx="5">
                  <c:v>9384.9475906618227</c:v>
                </c:pt>
                <c:pt idx="6">
                  <c:v>9784.4602966996554</c:v>
                </c:pt>
                <c:pt idx="7">
                  <c:v>10219.771409451341</c:v>
                </c:pt>
                <c:pt idx="8">
                  <c:v>10679.161403031325</c:v>
                </c:pt>
                <c:pt idx="9">
                  <c:v>11173.931203921835</c:v>
                </c:pt>
                <c:pt idx="10">
                  <c:v>11666.554769303788</c:v>
                </c:pt>
                <c:pt idx="11">
                  <c:v>12193.981415550195</c:v>
                </c:pt>
                <c:pt idx="12">
                  <c:v>12744.065989762519</c:v>
                </c:pt>
                <c:pt idx="13">
                  <c:v>13332.384417539119</c:v>
                </c:pt>
                <c:pt idx="14">
                  <c:v>13914.023709825631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C-4BDA-8AD7-B23C34963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463952"/>
        <c:axId val="227465520"/>
      </c:barChart>
      <c:catAx>
        <c:axId val="22746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7465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465520"/>
        <c:scaling>
          <c:orientation val="minMax"/>
        </c:scaling>
        <c:delete val="0"/>
        <c:axPos val="l"/>
        <c:majorGridlines/>
        <c:numFmt formatCode="_-&quot;$&quot;* #,##0_-;[Red]\-&quot;$&quot;* #,##0_-;_-&quot;$&quot;* &quot;-&quot;??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746395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After Tax Cash Flow</a:t>
            </a:r>
          </a:p>
        </c:rich>
      </c:tx>
      <c:layout>
        <c:manualLayout>
          <c:xMode val="edge"/>
          <c:yMode val="edge"/>
          <c:x val="0.39310344827586208"/>
          <c:y val="3.7415090265898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17241379310344"/>
          <c:y val="0.24830014449187027"/>
          <c:w val="0.84413793103448276"/>
          <c:h val="0.6802743684708774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'Data Property 5'!$C$119:$Q$119</c:f>
              <c:numCache>
                <c:formatCode>_-"$"* #,##0_-;[Red]\-"$"* #,##0_-;_-"$"* "-"??_-;_-@_-</c:formatCode>
                <c:ptCount val="15"/>
                <c:pt idx="0">
                  <c:v>1318.2217304500946</c:v>
                </c:pt>
                <c:pt idx="1">
                  <c:v>1702.5669122358158</c:v>
                </c:pt>
                <c:pt idx="2">
                  <c:v>1691.1270359482169</c:v>
                </c:pt>
                <c:pt idx="3">
                  <c:v>1726.9688322845323</c:v>
                </c:pt>
                <c:pt idx="4">
                  <c:v>1792.0246271945543</c:v>
                </c:pt>
                <c:pt idx="5">
                  <c:v>1755.0851910545953</c:v>
                </c:pt>
                <c:pt idx="6">
                  <c:v>1849.403401108133</c:v>
                </c:pt>
                <c:pt idx="7">
                  <c:v>1967.312238036151</c:v>
                </c:pt>
                <c:pt idx="8">
                  <c:v>2096.6038647595306</c:v>
                </c:pt>
                <c:pt idx="9">
                  <c:v>2248.0713641191687</c:v>
                </c:pt>
                <c:pt idx="10">
                  <c:v>2383.6605359090245</c:v>
                </c:pt>
                <c:pt idx="11">
                  <c:v>2539.7714128196239</c:v>
                </c:pt>
                <c:pt idx="12">
                  <c:v>2703.687586922726</c:v>
                </c:pt>
                <c:pt idx="13">
                  <c:v>2890.3908785857257</c:v>
                </c:pt>
                <c:pt idx="14">
                  <c:v>3054.3504293141141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F-4A74-B0FD-9DD59D7BC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407536"/>
        <c:axId val="228416552"/>
      </c:barChart>
      <c:catAx>
        <c:axId val="22840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8416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416552"/>
        <c:scaling>
          <c:orientation val="minMax"/>
        </c:scaling>
        <c:delete val="0"/>
        <c:axPos val="l"/>
        <c:majorGridlines/>
        <c:numFmt formatCode="_-&quot;$&quot;* #,##0_-;[Red]\-&quot;$&quot;* #,##0_-;_-&quot;$&quot;* &quot;-&quot;??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840753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Property Value</a:t>
            </a:r>
          </a:p>
        </c:rich>
      </c:tx>
      <c:layout>
        <c:manualLayout>
          <c:xMode val="edge"/>
          <c:yMode val="edge"/>
          <c:x val="0.39310344827586208"/>
          <c:y val="3.7415090265898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17241379310344"/>
          <c:y val="0.24830014449187027"/>
          <c:w val="0.84413793103448276"/>
          <c:h val="0.68027436847087741"/>
        </c:manualLayout>
      </c:layout>
      <c:areaChart>
        <c:grouping val="stacked"/>
        <c:varyColors val="0"/>
        <c:ser>
          <c:idx val="0"/>
          <c:order val="0"/>
          <c:val>
            <c:numRef>
              <c:f>'Data Property 5'!$C$102:$Q$102</c:f>
              <c:numCache>
                <c:formatCode>_-* #,##0_-;\-* #,##0_-;_-* "-"??_-;_-@_-</c:formatCode>
                <c:ptCount val="15"/>
                <c:pt idx="0">
                  <c:v>163050.95890410958</c:v>
                </c:pt>
                <c:pt idx="1">
                  <c:v>169572.99726027396</c:v>
                </c:pt>
                <c:pt idx="2">
                  <c:v>176355.91715068492</c:v>
                </c:pt>
                <c:pt idx="3">
                  <c:v>183410.15383671233</c:v>
                </c:pt>
                <c:pt idx="4">
                  <c:v>190746.55999018083</c:v>
                </c:pt>
                <c:pt idx="5">
                  <c:v>198376.42238978806</c:v>
                </c:pt>
                <c:pt idx="6">
                  <c:v>206311.47928537958</c:v>
                </c:pt>
                <c:pt idx="7">
                  <c:v>214563.93845679477</c:v>
                </c:pt>
                <c:pt idx="8">
                  <c:v>223146.49599506657</c:v>
                </c:pt>
                <c:pt idx="9">
                  <c:v>232072.35583486923</c:v>
                </c:pt>
                <c:pt idx="10">
                  <c:v>241355.25006826399</c:v>
                </c:pt>
                <c:pt idx="11">
                  <c:v>251009.46007099457</c:v>
                </c:pt>
                <c:pt idx="12">
                  <c:v>261049.83847383436</c:v>
                </c:pt>
                <c:pt idx="13">
                  <c:v>271491.83201278775</c:v>
                </c:pt>
                <c:pt idx="14">
                  <c:v>282351.50529329927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D-4B94-ABFE-C4DA48C3D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414592"/>
        <c:axId val="228408712"/>
      </c:areaChart>
      <c:catAx>
        <c:axId val="22841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8408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4087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8414592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Cumulative Cash Flow</a:t>
            </a:r>
          </a:p>
        </c:rich>
      </c:tx>
      <c:layout>
        <c:manualLayout>
          <c:xMode val="edge"/>
          <c:yMode val="edge"/>
          <c:x val="0.25930712259987365"/>
          <c:y val="3.74150095260387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17241379310344"/>
          <c:y val="0.24830014449187027"/>
          <c:w val="0.84413793103448276"/>
          <c:h val="0.6802743684708774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'Data Property 5'!$C$120:$Q$120</c:f>
              <c:numCache>
                <c:formatCode>_-"$"* #,##0_-;[Red]\-"$"* #,##0_-;_-"$"* "-"??_-;_-@_-</c:formatCode>
                <c:ptCount val="15"/>
                <c:pt idx="0">
                  <c:v>1318.2217304500946</c:v>
                </c:pt>
                <c:pt idx="1">
                  <c:v>3020.7886426859104</c:v>
                </c:pt>
                <c:pt idx="2">
                  <c:v>4711.9156786341273</c:v>
                </c:pt>
                <c:pt idx="3">
                  <c:v>6438.8845109186595</c:v>
                </c:pt>
                <c:pt idx="4">
                  <c:v>8230.909138113213</c:v>
                </c:pt>
                <c:pt idx="5">
                  <c:v>9985.9943291678082</c:v>
                </c:pt>
                <c:pt idx="6">
                  <c:v>11835.397730275941</c:v>
                </c:pt>
                <c:pt idx="7">
                  <c:v>13802.709968312092</c:v>
                </c:pt>
                <c:pt idx="8">
                  <c:v>15899.313833071623</c:v>
                </c:pt>
                <c:pt idx="9">
                  <c:v>18147.385197190793</c:v>
                </c:pt>
                <c:pt idx="10">
                  <c:v>20531.045733099818</c:v>
                </c:pt>
                <c:pt idx="11">
                  <c:v>23070.817145919442</c:v>
                </c:pt>
                <c:pt idx="12">
                  <c:v>25774.504732842168</c:v>
                </c:pt>
                <c:pt idx="13">
                  <c:v>28664.895611427892</c:v>
                </c:pt>
                <c:pt idx="14">
                  <c:v>31719.246040742008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7-44A3-8179-84290E7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411064"/>
        <c:axId val="228414984"/>
      </c:barChart>
      <c:catAx>
        <c:axId val="228411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8414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414984"/>
        <c:scaling>
          <c:orientation val="minMax"/>
        </c:scaling>
        <c:delete val="0"/>
        <c:axPos val="l"/>
        <c:majorGridlines/>
        <c:numFmt formatCode="_-&quot;$&quot;* #,##0_-;[Red]\-&quot;$&quot;* #,##0_-;_-&quot;$&quot;* &quot;-&quot;??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841106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Holding Costs Year 1</a:t>
            </a:r>
          </a:p>
          <a:p>
            <a:pPr>
              <a:defRPr/>
            </a:pPr>
            <a:endParaRPr lang="en-AU"/>
          </a:p>
        </c:rich>
      </c:tx>
      <c:layout>
        <c:manualLayout>
          <c:xMode val="edge"/>
          <c:yMode val="edge"/>
          <c:x val="0.25103412133769126"/>
          <c:y val="3.9130276788317632E-2"/>
        </c:manualLayout>
      </c:layout>
      <c:overlay val="0"/>
    </c:title>
    <c:autoTitleDeleted val="0"/>
    <c:view3D>
      <c:rotX val="15"/>
      <c:rotY val="9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379679144385027"/>
          <c:y val="0.29565217391304349"/>
          <c:w val="0.73529411764705888"/>
          <c:h val="0.47391304347826085"/>
        </c:manualLayout>
      </c:layout>
      <c:pie3DChart>
        <c:varyColors val="1"/>
        <c:ser>
          <c:idx val="0"/>
          <c:order val="0"/>
          <c:explosion val="7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AF8-49B1-80AC-3DD0AC4DC64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2AF8-49B1-80AC-3DD0AC4DC64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2AF8-49B1-80AC-3DD0AC4DC641}"/>
              </c:ext>
            </c:extLst>
          </c:dPt>
          <c:dLbls>
            <c:dLbl>
              <c:idx val="1"/>
              <c:layout>
                <c:manualLayout>
                  <c:x val="-3.8895068990135284E-2"/>
                  <c:y val="-0.2143076797822724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F8-49B1-80AC-3DD0AC4DC641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Property 1'!$A$73:$A$75</c:f>
              <c:strCache>
                <c:ptCount val="3"/>
                <c:pt idx="0">
                  <c:v>Tenant</c:v>
                </c:pt>
                <c:pt idx="1">
                  <c:v>Tax Office</c:v>
                </c:pt>
                <c:pt idx="2">
                  <c:v>You</c:v>
                </c:pt>
              </c:strCache>
            </c:strRef>
          </c:cat>
          <c:val>
            <c:numRef>
              <c:f>'Data Property 1'!$C$73:$C$75</c:f>
              <c:numCache>
                <c:formatCode>_-"$"* #,##0_-;[Red]\-"$"* #,##0_-;_-"$"* "-"_-;_-@_-</c:formatCode>
                <c:ptCount val="3"/>
                <c:pt idx="0" formatCode="_-&quot;$&quot;* #,##0_-;\-&quot;$&quot;* #,##0_-;_-&quot;$&quot;* &quot;-&quot;??_-;_-@_-">
                  <c:v>424.28571428571433</c:v>
                </c:pt>
                <c:pt idx="1">
                  <c:v>0</c:v>
                </c:pt>
                <c:pt idx="2">
                  <c:v>45828.933901643846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F8-49B1-80AC-3DD0AC4DC64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Cumulative Profit</a:t>
            </a:r>
          </a:p>
        </c:rich>
      </c:tx>
      <c:layout>
        <c:manualLayout>
          <c:xMode val="edge"/>
          <c:yMode val="edge"/>
          <c:x val="0.32227006184538837"/>
          <c:y val="3.74150095260387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17241379310344"/>
          <c:y val="0.24830014449187027"/>
          <c:w val="0.84413793103448276"/>
          <c:h val="0.6802743684708774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'Data Property 5'!$C$123:$Q$123</c:f>
              <c:numCache>
                <c:formatCode>_-"$"* #,##0_-;[Red]\-"$"* #,##0_-;_-"$"* "-"??_-;_-@_-</c:formatCode>
                <c:ptCount val="15"/>
                <c:pt idx="0">
                  <c:v>-16790.819365440329</c:v>
                </c:pt>
                <c:pt idx="1">
                  <c:v>-8566.2140970401306</c:v>
                </c:pt>
                <c:pt idx="2">
                  <c:v>-92.167170680948402</c:v>
                </c:pt>
                <c:pt idx="3">
                  <c:v>8689.0383476309889</c:v>
                </c:pt>
                <c:pt idx="4">
                  <c:v>17817.469128294048</c:v>
                </c:pt>
                <c:pt idx="5">
                  <c:v>27202.416718955872</c:v>
                </c:pt>
                <c:pt idx="6">
                  <c:v>36986.877015655526</c:v>
                </c:pt>
                <c:pt idx="7">
                  <c:v>47206.648425106869</c:v>
                </c:pt>
                <c:pt idx="8">
                  <c:v>57885.809828138197</c:v>
                </c:pt>
                <c:pt idx="9">
                  <c:v>69059.741032060032</c:v>
                </c:pt>
                <c:pt idx="10">
                  <c:v>80726.295801363827</c:v>
                </c:pt>
                <c:pt idx="11">
                  <c:v>92920.277216914023</c:v>
                </c:pt>
                <c:pt idx="12">
                  <c:v>105664.34320667654</c:v>
                </c:pt>
                <c:pt idx="13">
                  <c:v>118996.72762421565</c:v>
                </c:pt>
                <c:pt idx="14">
                  <c:v>132910.75133404127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3-4682-9865-6EF46AB3E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409104"/>
        <c:axId val="228409496"/>
      </c:barChart>
      <c:catAx>
        <c:axId val="22840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8409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409496"/>
        <c:scaling>
          <c:orientation val="minMax"/>
        </c:scaling>
        <c:delete val="0"/>
        <c:axPos val="l"/>
        <c:majorGridlines/>
        <c:numFmt formatCode="_-&quot;$&quot;* #,##0_-;[Red]\-&quot;$&quot;* #,##0_-;_-&quot;$&quot;* &quot;-&quot;??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840910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Total Profit Per Year</a:t>
            </a:r>
          </a:p>
        </c:rich>
      </c:tx>
      <c:layout>
        <c:manualLayout>
          <c:xMode val="edge"/>
          <c:yMode val="edge"/>
          <c:x val="0.39310344827586208"/>
          <c:y val="3.7415090265898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17241379310344"/>
          <c:y val="0.24830014449187027"/>
          <c:w val="0.84413793103448276"/>
          <c:h val="0.6802743684708774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'Data Property 1'!$C$122:$Q$122</c:f>
              <c:numCache>
                <c:formatCode>_-"$"* #,##0_-;[Red]\-"$"* #,##0_-;_-"$"* "-"??_-;_-@_-</c:formatCode>
                <c:ptCount val="15"/>
                <c:pt idx="0">
                  <c:v>1619.7344545205415</c:v>
                </c:pt>
                <c:pt idx="1">
                  <c:v>32365.47570284245</c:v>
                </c:pt>
                <c:pt idx="2">
                  <c:v>35091.168398135102</c:v>
                </c:pt>
                <c:pt idx="3">
                  <c:v>38073.282829476717</c:v>
                </c:pt>
                <c:pt idx="4">
                  <c:v>41312.852791478552</c:v>
                </c:pt>
                <c:pt idx="5">
                  <c:v>44696.309584889561</c:v>
                </c:pt>
                <c:pt idx="6">
                  <c:v>48477.390123218007</c:v>
                </c:pt>
                <c:pt idx="7">
                  <c:v>52568.335520437089</c:v>
                </c:pt>
                <c:pt idx="8">
                  <c:v>56979.926847649273</c:v>
                </c:pt>
                <c:pt idx="9">
                  <c:v>61749.425187365079</c:v>
                </c:pt>
                <c:pt idx="10">
                  <c:v>66859.060321184254</c:v>
                </c:pt>
                <c:pt idx="11">
                  <c:v>72379.807637817765</c:v>
                </c:pt>
                <c:pt idx="12">
                  <c:v>78327.664756863276</c:v>
                </c:pt>
                <c:pt idx="13">
                  <c:v>84755.57654974371</c:v>
                </c:pt>
                <c:pt idx="14">
                  <c:v>91639.541124964002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9-4381-991A-36207E1F2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479376"/>
        <c:axId val="224476632"/>
      </c:barChart>
      <c:catAx>
        <c:axId val="22447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4476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4476632"/>
        <c:scaling>
          <c:orientation val="minMax"/>
        </c:scaling>
        <c:delete val="0"/>
        <c:axPos val="l"/>
        <c:majorGridlines/>
        <c:numFmt formatCode="_-&quot;$&quot;* #,##0_-;[Red]\-&quot;$&quot;* #,##0_-;_-&quot;$&quot;* &quot;-&quot;??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447937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After Tax Cash Flow</a:t>
            </a:r>
          </a:p>
        </c:rich>
      </c:tx>
      <c:layout>
        <c:manualLayout>
          <c:xMode val="edge"/>
          <c:yMode val="edge"/>
          <c:x val="0.39310344827586208"/>
          <c:y val="3.7415090265898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17241379310344"/>
          <c:y val="0.24830014449187027"/>
          <c:w val="0.84413793103448276"/>
          <c:h val="0.6802743684708774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'Data Property 1'!$C$119:$Q$119</c:f>
              <c:numCache>
                <c:formatCode>_-"$"* #,##0_-;[Red]\-"$"* #,##0_-;_-"$"* "-"??_-;_-@_-</c:formatCode>
                <c:ptCount val="15"/>
                <c:pt idx="0">
                  <c:v>1103.2960983561616</c:v>
                </c:pt>
                <c:pt idx="1">
                  <c:v>204.16063434931857</c:v>
                </c:pt>
                <c:pt idx="2">
                  <c:v>356.94812416249624</c:v>
                </c:pt>
                <c:pt idx="3">
                  <c:v>560.32493358631473</c:v>
                </c:pt>
                <c:pt idx="4">
                  <c:v>798.85826391689989</c:v>
                </c:pt>
                <c:pt idx="5">
                  <c:v>941.19549512304729</c:v>
                </c:pt>
                <c:pt idx="6">
                  <c:v>1221.8669062700938</c:v>
                </c:pt>
                <c:pt idx="7">
                  <c:v>1532.3704461334164</c:v>
                </c:pt>
                <c:pt idx="8">
                  <c:v>1861.0845674012053</c:v>
                </c:pt>
                <c:pt idx="9">
                  <c:v>2221.075524697244</c:v>
                </c:pt>
                <c:pt idx="10">
                  <c:v>2568.4426855029596</c:v>
                </c:pt>
                <c:pt idx="11">
                  <c:v>2945.9405912819384</c:v>
                </c:pt>
                <c:pt idx="12">
                  <c:v>3339.088346604618</c:v>
                </c:pt>
                <c:pt idx="13">
                  <c:v>3767.914026664399</c:v>
                </c:pt>
                <c:pt idx="14">
                  <c:v>4172.8656000381925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F-4C36-B1BB-3954CB731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475848"/>
        <c:axId val="224471928"/>
      </c:barChart>
      <c:catAx>
        <c:axId val="22447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4471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4471928"/>
        <c:scaling>
          <c:orientation val="minMax"/>
        </c:scaling>
        <c:delete val="0"/>
        <c:axPos val="l"/>
        <c:majorGridlines/>
        <c:numFmt formatCode="_-&quot;$&quot;* #,##0_-;[Red]\-&quot;$&quot;* #,##0_-;_-&quot;$&quot;* &quot;-&quot;??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447584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Property Value</a:t>
            </a:r>
          </a:p>
        </c:rich>
      </c:tx>
      <c:layout>
        <c:manualLayout>
          <c:xMode val="edge"/>
          <c:yMode val="edge"/>
          <c:x val="0.39310344827586208"/>
          <c:y val="3.7415090265898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17241379310344"/>
          <c:y val="0.24830014449187027"/>
          <c:w val="0.84413793103448276"/>
          <c:h val="0.68027436847087741"/>
        </c:manualLayout>
      </c:layout>
      <c:areaChart>
        <c:grouping val="stacked"/>
        <c:varyColors val="0"/>
        <c:ser>
          <c:idx val="0"/>
          <c:order val="0"/>
          <c:val>
            <c:numRef>
              <c:f>'Data Property 1'!$C$102:$Q$102</c:f>
              <c:numCache>
                <c:formatCode>_-* #,##0_-;\-* #,##0_-;_-* "-"??_-;_-@_-</c:formatCode>
                <c:ptCount val="15"/>
                <c:pt idx="0">
                  <c:v>402016.43835616438</c:v>
                </c:pt>
                <c:pt idx="1">
                  <c:v>434177.75342465751</c:v>
                </c:pt>
                <c:pt idx="2">
                  <c:v>468911.97369863011</c:v>
                </c:pt>
                <c:pt idx="3">
                  <c:v>506424.93159452052</c:v>
                </c:pt>
                <c:pt idx="4">
                  <c:v>546938.92612208216</c:v>
                </c:pt>
                <c:pt idx="5">
                  <c:v>590694.04021184868</c:v>
                </c:pt>
                <c:pt idx="6">
                  <c:v>637949.56342879659</c:v>
                </c:pt>
                <c:pt idx="7">
                  <c:v>688985.52850310027</c:v>
                </c:pt>
                <c:pt idx="8">
                  <c:v>744104.37078334833</c:v>
                </c:pt>
                <c:pt idx="9">
                  <c:v>803632.72044601617</c:v>
                </c:pt>
                <c:pt idx="10">
                  <c:v>867923.33808169747</c:v>
                </c:pt>
                <c:pt idx="11">
                  <c:v>937357.2051282333</c:v>
                </c:pt>
                <c:pt idx="12">
                  <c:v>1012345.781538492</c:v>
                </c:pt>
                <c:pt idx="13">
                  <c:v>1093333.4440615713</c:v>
                </c:pt>
                <c:pt idx="14">
                  <c:v>1180800.1195864971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D-4D79-9F2B-AE2855717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76240"/>
        <c:axId val="224474280"/>
      </c:areaChart>
      <c:catAx>
        <c:axId val="22447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4474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44742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4476240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Cumulative Cash Flow</a:t>
            </a:r>
          </a:p>
        </c:rich>
      </c:tx>
      <c:layout>
        <c:manualLayout>
          <c:xMode val="edge"/>
          <c:yMode val="edge"/>
          <c:x val="0.25930712259987365"/>
          <c:y val="3.74150095260387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17241379310344"/>
          <c:y val="0.24830014449187027"/>
          <c:w val="0.84413793103448276"/>
          <c:h val="0.6802743684708774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'Data Property 1'!$C$120:$Q$120</c:f>
              <c:numCache>
                <c:formatCode>_-"$"* #,##0_-;[Red]\-"$"* #,##0_-;_-"$"* "-"??_-;_-@_-</c:formatCode>
                <c:ptCount val="15"/>
                <c:pt idx="0">
                  <c:v>1103.2960983561616</c:v>
                </c:pt>
                <c:pt idx="1">
                  <c:v>1307.4567327054801</c:v>
                </c:pt>
                <c:pt idx="2">
                  <c:v>1664.4048568679764</c:v>
                </c:pt>
                <c:pt idx="3">
                  <c:v>2224.7297904542911</c:v>
                </c:pt>
                <c:pt idx="4">
                  <c:v>3023.588054371191</c:v>
                </c:pt>
                <c:pt idx="5">
                  <c:v>3964.7835494942383</c:v>
                </c:pt>
                <c:pt idx="6">
                  <c:v>5186.650455764332</c:v>
                </c:pt>
                <c:pt idx="7">
                  <c:v>6719.0209018977484</c:v>
                </c:pt>
                <c:pt idx="8">
                  <c:v>8580.1054692989528</c:v>
                </c:pt>
                <c:pt idx="9">
                  <c:v>10801.180993996197</c:v>
                </c:pt>
                <c:pt idx="10">
                  <c:v>13369.623679499156</c:v>
                </c:pt>
                <c:pt idx="11">
                  <c:v>16315.564270781095</c:v>
                </c:pt>
                <c:pt idx="12">
                  <c:v>19654.652617385713</c:v>
                </c:pt>
                <c:pt idx="13">
                  <c:v>23422.566644050112</c:v>
                </c:pt>
                <c:pt idx="14">
                  <c:v>27595.432244088304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3-443B-AEA5-CA33D18C2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473888"/>
        <c:axId val="224478592"/>
      </c:barChart>
      <c:catAx>
        <c:axId val="22447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447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4478592"/>
        <c:scaling>
          <c:orientation val="minMax"/>
        </c:scaling>
        <c:delete val="0"/>
        <c:axPos val="l"/>
        <c:majorGridlines/>
        <c:numFmt formatCode="_-&quot;$&quot;* #,##0_-;[Red]\-&quot;$&quot;* #,##0_-;_-&quot;$&quot;* &quot;-&quot;??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447388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187326</xdr:colOff>
      <xdr:row>14</xdr:row>
      <xdr:rowOff>45508</xdr:rowOff>
    </xdr:from>
    <xdr:to>
      <xdr:col>27</xdr:col>
      <xdr:colOff>20109</xdr:colOff>
      <xdr:row>26</xdr:row>
      <xdr:rowOff>121708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00000000-0008-0000-0100-000001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778249</xdr:colOff>
      <xdr:row>81</xdr:row>
      <xdr:rowOff>29694</xdr:rowOff>
    </xdr:from>
    <xdr:to>
      <xdr:col>16</xdr:col>
      <xdr:colOff>815787</xdr:colOff>
      <xdr:row>94</xdr:row>
      <xdr:rowOff>116541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00000000-0008-0000-0100-000002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518272</xdr:colOff>
      <xdr:row>81</xdr:row>
      <xdr:rowOff>26894</xdr:rowOff>
    </xdr:from>
    <xdr:to>
      <xdr:col>12</xdr:col>
      <xdr:colOff>672353</xdr:colOff>
      <xdr:row>94</xdr:row>
      <xdr:rowOff>107577</xdr:rowOff>
    </xdr:to>
    <xdr:graphicFrame macro="">
      <xdr:nvGraphicFramePr>
        <xdr:cNvPr id="5138" name="Chart 18">
          <a:extLst>
            <a:ext uri="{FF2B5EF4-FFF2-40B4-BE49-F238E27FC236}">
              <a16:creationId xmlns:a16="http://schemas.microsoft.com/office/drawing/2014/main" id="{00000000-0008-0000-0100-000012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98612</xdr:colOff>
      <xdr:row>81</xdr:row>
      <xdr:rowOff>30817</xdr:rowOff>
    </xdr:from>
    <xdr:to>
      <xdr:col>8</xdr:col>
      <xdr:colOff>448235</xdr:colOff>
      <xdr:row>94</xdr:row>
      <xdr:rowOff>116542</xdr:rowOff>
    </xdr:to>
    <xdr:graphicFrame macro="">
      <xdr:nvGraphicFramePr>
        <xdr:cNvPr id="5139" name="Chart 19">
          <a:extLst>
            <a:ext uri="{FF2B5EF4-FFF2-40B4-BE49-F238E27FC236}">
              <a16:creationId xmlns:a16="http://schemas.microsoft.com/office/drawing/2014/main" id="{00000000-0008-0000-0100-000013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160368</xdr:colOff>
      <xdr:row>80</xdr:row>
      <xdr:rowOff>170328</xdr:rowOff>
    </xdr:from>
    <xdr:to>
      <xdr:col>3</xdr:col>
      <xdr:colOff>806823</xdr:colOff>
      <xdr:row>94</xdr:row>
      <xdr:rowOff>116540</xdr:rowOff>
    </xdr:to>
    <xdr:graphicFrame macro="">
      <xdr:nvGraphicFramePr>
        <xdr:cNvPr id="5141" name="Chart 21">
          <a:extLst>
            <a:ext uri="{FF2B5EF4-FFF2-40B4-BE49-F238E27FC236}">
              <a16:creationId xmlns:a16="http://schemas.microsoft.com/office/drawing/2014/main" id="{00000000-0008-0000-0100-000015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71718</xdr:colOff>
      <xdr:row>132</xdr:row>
      <xdr:rowOff>152400</xdr:rowOff>
    </xdr:from>
    <xdr:to>
      <xdr:col>4</xdr:col>
      <xdr:colOff>421341</xdr:colOff>
      <xdr:row>155</xdr:row>
      <xdr:rowOff>62753</xdr:rowOff>
    </xdr:to>
    <xdr:graphicFrame macro="">
      <xdr:nvGraphicFramePr>
        <xdr:cNvPr id="48" name="Chart 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510987</xdr:colOff>
      <xdr:row>132</xdr:row>
      <xdr:rowOff>161366</xdr:rowOff>
    </xdr:from>
    <xdr:to>
      <xdr:col>10</xdr:col>
      <xdr:colOff>349624</xdr:colOff>
      <xdr:row>155</xdr:row>
      <xdr:rowOff>71719</xdr:rowOff>
    </xdr:to>
    <xdr:graphicFrame macro="">
      <xdr:nvGraphicFramePr>
        <xdr:cNvPr id="49" name="Chart 1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412376</xdr:colOff>
      <xdr:row>132</xdr:row>
      <xdr:rowOff>161365</xdr:rowOff>
    </xdr:from>
    <xdr:to>
      <xdr:col>16</xdr:col>
      <xdr:colOff>251013</xdr:colOff>
      <xdr:row>155</xdr:row>
      <xdr:rowOff>71718</xdr:rowOff>
    </xdr:to>
    <xdr:graphicFrame macro="">
      <xdr:nvGraphicFramePr>
        <xdr:cNvPr id="50" name="Chart 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376518</xdr:colOff>
      <xdr:row>132</xdr:row>
      <xdr:rowOff>161364</xdr:rowOff>
    </xdr:from>
    <xdr:to>
      <xdr:col>23</xdr:col>
      <xdr:colOff>618567</xdr:colOff>
      <xdr:row>155</xdr:row>
      <xdr:rowOff>71717</xdr:rowOff>
    </xdr:to>
    <xdr:graphicFrame macro="">
      <xdr:nvGraphicFramePr>
        <xdr:cNvPr id="51" name="Chart 1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62752</xdr:colOff>
      <xdr:row>133</xdr:row>
      <xdr:rowOff>0</xdr:rowOff>
    </xdr:from>
    <xdr:to>
      <xdr:col>31</xdr:col>
      <xdr:colOff>510990</xdr:colOff>
      <xdr:row>155</xdr:row>
      <xdr:rowOff>80682</xdr:rowOff>
    </xdr:to>
    <xdr:graphicFrame macro="">
      <xdr:nvGraphicFramePr>
        <xdr:cNvPr id="52" name="Chart 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187326</xdr:colOff>
      <xdr:row>14</xdr:row>
      <xdr:rowOff>45508</xdr:rowOff>
    </xdr:from>
    <xdr:to>
      <xdr:col>27</xdr:col>
      <xdr:colOff>20109</xdr:colOff>
      <xdr:row>26</xdr:row>
      <xdr:rowOff>121708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778249</xdr:colOff>
      <xdr:row>81</xdr:row>
      <xdr:rowOff>29694</xdr:rowOff>
    </xdr:from>
    <xdr:to>
      <xdr:col>16</xdr:col>
      <xdr:colOff>815787</xdr:colOff>
      <xdr:row>94</xdr:row>
      <xdr:rowOff>116541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518272</xdr:colOff>
      <xdr:row>81</xdr:row>
      <xdr:rowOff>26894</xdr:rowOff>
    </xdr:from>
    <xdr:to>
      <xdr:col>12</xdr:col>
      <xdr:colOff>672353</xdr:colOff>
      <xdr:row>94</xdr:row>
      <xdr:rowOff>107577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98612</xdr:colOff>
      <xdr:row>81</xdr:row>
      <xdr:rowOff>30817</xdr:rowOff>
    </xdr:from>
    <xdr:to>
      <xdr:col>8</xdr:col>
      <xdr:colOff>448235</xdr:colOff>
      <xdr:row>94</xdr:row>
      <xdr:rowOff>116542</xdr:rowOff>
    </xdr:to>
    <xdr:graphicFrame macro="">
      <xdr:nvGraphicFramePr>
        <xdr:cNvPr id="5" name="Chart 1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160368</xdr:colOff>
      <xdr:row>80</xdr:row>
      <xdr:rowOff>170328</xdr:rowOff>
    </xdr:from>
    <xdr:to>
      <xdr:col>3</xdr:col>
      <xdr:colOff>806823</xdr:colOff>
      <xdr:row>94</xdr:row>
      <xdr:rowOff>116540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71718</xdr:colOff>
      <xdr:row>132</xdr:row>
      <xdr:rowOff>152400</xdr:rowOff>
    </xdr:from>
    <xdr:to>
      <xdr:col>4</xdr:col>
      <xdr:colOff>421341</xdr:colOff>
      <xdr:row>155</xdr:row>
      <xdr:rowOff>62753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510987</xdr:colOff>
      <xdr:row>132</xdr:row>
      <xdr:rowOff>161366</xdr:rowOff>
    </xdr:from>
    <xdr:to>
      <xdr:col>10</xdr:col>
      <xdr:colOff>349624</xdr:colOff>
      <xdr:row>155</xdr:row>
      <xdr:rowOff>71719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412376</xdr:colOff>
      <xdr:row>132</xdr:row>
      <xdr:rowOff>161365</xdr:rowOff>
    </xdr:from>
    <xdr:to>
      <xdr:col>16</xdr:col>
      <xdr:colOff>251013</xdr:colOff>
      <xdr:row>155</xdr:row>
      <xdr:rowOff>71718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376518</xdr:colOff>
      <xdr:row>132</xdr:row>
      <xdr:rowOff>161364</xdr:rowOff>
    </xdr:from>
    <xdr:to>
      <xdr:col>23</xdr:col>
      <xdr:colOff>618567</xdr:colOff>
      <xdr:row>155</xdr:row>
      <xdr:rowOff>71717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62752</xdr:colOff>
      <xdr:row>133</xdr:row>
      <xdr:rowOff>0</xdr:rowOff>
    </xdr:from>
    <xdr:to>
      <xdr:col>31</xdr:col>
      <xdr:colOff>510990</xdr:colOff>
      <xdr:row>155</xdr:row>
      <xdr:rowOff>80682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187326</xdr:colOff>
      <xdr:row>14</xdr:row>
      <xdr:rowOff>45508</xdr:rowOff>
    </xdr:from>
    <xdr:to>
      <xdr:col>27</xdr:col>
      <xdr:colOff>20109</xdr:colOff>
      <xdr:row>26</xdr:row>
      <xdr:rowOff>121708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778249</xdr:colOff>
      <xdr:row>81</xdr:row>
      <xdr:rowOff>29694</xdr:rowOff>
    </xdr:from>
    <xdr:to>
      <xdr:col>16</xdr:col>
      <xdr:colOff>815787</xdr:colOff>
      <xdr:row>94</xdr:row>
      <xdr:rowOff>116541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518272</xdr:colOff>
      <xdr:row>81</xdr:row>
      <xdr:rowOff>26894</xdr:rowOff>
    </xdr:from>
    <xdr:to>
      <xdr:col>12</xdr:col>
      <xdr:colOff>672353</xdr:colOff>
      <xdr:row>94</xdr:row>
      <xdr:rowOff>107577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98612</xdr:colOff>
      <xdr:row>81</xdr:row>
      <xdr:rowOff>30817</xdr:rowOff>
    </xdr:from>
    <xdr:to>
      <xdr:col>8</xdr:col>
      <xdr:colOff>448235</xdr:colOff>
      <xdr:row>94</xdr:row>
      <xdr:rowOff>116542</xdr:rowOff>
    </xdr:to>
    <xdr:graphicFrame macro="">
      <xdr:nvGraphicFramePr>
        <xdr:cNvPr id="5" name="Chart 1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160368</xdr:colOff>
      <xdr:row>80</xdr:row>
      <xdr:rowOff>170328</xdr:rowOff>
    </xdr:from>
    <xdr:to>
      <xdr:col>3</xdr:col>
      <xdr:colOff>806823</xdr:colOff>
      <xdr:row>94</xdr:row>
      <xdr:rowOff>116540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71718</xdr:colOff>
      <xdr:row>132</xdr:row>
      <xdr:rowOff>152400</xdr:rowOff>
    </xdr:from>
    <xdr:to>
      <xdr:col>4</xdr:col>
      <xdr:colOff>421341</xdr:colOff>
      <xdr:row>155</xdr:row>
      <xdr:rowOff>62753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510987</xdr:colOff>
      <xdr:row>132</xdr:row>
      <xdr:rowOff>161366</xdr:rowOff>
    </xdr:from>
    <xdr:to>
      <xdr:col>10</xdr:col>
      <xdr:colOff>349624</xdr:colOff>
      <xdr:row>155</xdr:row>
      <xdr:rowOff>71719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412376</xdr:colOff>
      <xdr:row>132</xdr:row>
      <xdr:rowOff>161365</xdr:rowOff>
    </xdr:from>
    <xdr:to>
      <xdr:col>16</xdr:col>
      <xdr:colOff>251013</xdr:colOff>
      <xdr:row>155</xdr:row>
      <xdr:rowOff>71718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376518</xdr:colOff>
      <xdr:row>132</xdr:row>
      <xdr:rowOff>161364</xdr:rowOff>
    </xdr:from>
    <xdr:to>
      <xdr:col>23</xdr:col>
      <xdr:colOff>618567</xdr:colOff>
      <xdr:row>155</xdr:row>
      <xdr:rowOff>71717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62752</xdr:colOff>
      <xdr:row>133</xdr:row>
      <xdr:rowOff>0</xdr:rowOff>
    </xdr:from>
    <xdr:to>
      <xdr:col>31</xdr:col>
      <xdr:colOff>510990</xdr:colOff>
      <xdr:row>155</xdr:row>
      <xdr:rowOff>80682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187326</xdr:colOff>
      <xdr:row>14</xdr:row>
      <xdr:rowOff>45508</xdr:rowOff>
    </xdr:from>
    <xdr:to>
      <xdr:col>27</xdr:col>
      <xdr:colOff>20109</xdr:colOff>
      <xdr:row>26</xdr:row>
      <xdr:rowOff>121708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778249</xdr:colOff>
      <xdr:row>81</xdr:row>
      <xdr:rowOff>29694</xdr:rowOff>
    </xdr:from>
    <xdr:to>
      <xdr:col>16</xdr:col>
      <xdr:colOff>815787</xdr:colOff>
      <xdr:row>94</xdr:row>
      <xdr:rowOff>116541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518272</xdr:colOff>
      <xdr:row>81</xdr:row>
      <xdr:rowOff>26894</xdr:rowOff>
    </xdr:from>
    <xdr:to>
      <xdr:col>12</xdr:col>
      <xdr:colOff>672353</xdr:colOff>
      <xdr:row>94</xdr:row>
      <xdr:rowOff>107577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98612</xdr:colOff>
      <xdr:row>81</xdr:row>
      <xdr:rowOff>30817</xdr:rowOff>
    </xdr:from>
    <xdr:to>
      <xdr:col>8</xdr:col>
      <xdr:colOff>448235</xdr:colOff>
      <xdr:row>94</xdr:row>
      <xdr:rowOff>116542</xdr:rowOff>
    </xdr:to>
    <xdr:graphicFrame macro="">
      <xdr:nvGraphicFramePr>
        <xdr:cNvPr id="5" name="Chart 1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160368</xdr:colOff>
      <xdr:row>80</xdr:row>
      <xdr:rowOff>170328</xdr:rowOff>
    </xdr:from>
    <xdr:to>
      <xdr:col>3</xdr:col>
      <xdr:colOff>806823</xdr:colOff>
      <xdr:row>94</xdr:row>
      <xdr:rowOff>116540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71718</xdr:colOff>
      <xdr:row>132</xdr:row>
      <xdr:rowOff>152400</xdr:rowOff>
    </xdr:from>
    <xdr:to>
      <xdr:col>4</xdr:col>
      <xdr:colOff>421341</xdr:colOff>
      <xdr:row>155</xdr:row>
      <xdr:rowOff>62753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510987</xdr:colOff>
      <xdr:row>132</xdr:row>
      <xdr:rowOff>161366</xdr:rowOff>
    </xdr:from>
    <xdr:to>
      <xdr:col>10</xdr:col>
      <xdr:colOff>349624</xdr:colOff>
      <xdr:row>155</xdr:row>
      <xdr:rowOff>71719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412376</xdr:colOff>
      <xdr:row>132</xdr:row>
      <xdr:rowOff>161365</xdr:rowOff>
    </xdr:from>
    <xdr:to>
      <xdr:col>16</xdr:col>
      <xdr:colOff>251013</xdr:colOff>
      <xdr:row>155</xdr:row>
      <xdr:rowOff>71718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376518</xdr:colOff>
      <xdr:row>132</xdr:row>
      <xdr:rowOff>161364</xdr:rowOff>
    </xdr:from>
    <xdr:to>
      <xdr:col>23</xdr:col>
      <xdr:colOff>618567</xdr:colOff>
      <xdr:row>155</xdr:row>
      <xdr:rowOff>71717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62752</xdr:colOff>
      <xdr:row>133</xdr:row>
      <xdr:rowOff>0</xdr:rowOff>
    </xdr:from>
    <xdr:to>
      <xdr:col>31</xdr:col>
      <xdr:colOff>510990</xdr:colOff>
      <xdr:row>155</xdr:row>
      <xdr:rowOff>80682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187326</xdr:colOff>
      <xdr:row>14</xdr:row>
      <xdr:rowOff>45508</xdr:rowOff>
    </xdr:from>
    <xdr:to>
      <xdr:col>27</xdr:col>
      <xdr:colOff>20109</xdr:colOff>
      <xdr:row>26</xdr:row>
      <xdr:rowOff>121708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778249</xdr:colOff>
      <xdr:row>81</xdr:row>
      <xdr:rowOff>29694</xdr:rowOff>
    </xdr:from>
    <xdr:to>
      <xdr:col>16</xdr:col>
      <xdr:colOff>815787</xdr:colOff>
      <xdr:row>94</xdr:row>
      <xdr:rowOff>116541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518272</xdr:colOff>
      <xdr:row>81</xdr:row>
      <xdr:rowOff>26894</xdr:rowOff>
    </xdr:from>
    <xdr:to>
      <xdr:col>12</xdr:col>
      <xdr:colOff>672353</xdr:colOff>
      <xdr:row>94</xdr:row>
      <xdr:rowOff>107577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98612</xdr:colOff>
      <xdr:row>81</xdr:row>
      <xdr:rowOff>30817</xdr:rowOff>
    </xdr:from>
    <xdr:to>
      <xdr:col>8</xdr:col>
      <xdr:colOff>448235</xdr:colOff>
      <xdr:row>94</xdr:row>
      <xdr:rowOff>116542</xdr:rowOff>
    </xdr:to>
    <xdr:graphicFrame macro="">
      <xdr:nvGraphicFramePr>
        <xdr:cNvPr id="5" name="Chart 19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160368</xdr:colOff>
      <xdr:row>80</xdr:row>
      <xdr:rowOff>170328</xdr:rowOff>
    </xdr:from>
    <xdr:to>
      <xdr:col>3</xdr:col>
      <xdr:colOff>806823</xdr:colOff>
      <xdr:row>94</xdr:row>
      <xdr:rowOff>116540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71718</xdr:colOff>
      <xdr:row>132</xdr:row>
      <xdr:rowOff>152400</xdr:rowOff>
    </xdr:from>
    <xdr:to>
      <xdr:col>4</xdr:col>
      <xdr:colOff>421341</xdr:colOff>
      <xdr:row>155</xdr:row>
      <xdr:rowOff>62753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510987</xdr:colOff>
      <xdr:row>132</xdr:row>
      <xdr:rowOff>161366</xdr:rowOff>
    </xdr:from>
    <xdr:to>
      <xdr:col>10</xdr:col>
      <xdr:colOff>349624</xdr:colOff>
      <xdr:row>155</xdr:row>
      <xdr:rowOff>71719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412376</xdr:colOff>
      <xdr:row>132</xdr:row>
      <xdr:rowOff>161365</xdr:rowOff>
    </xdr:from>
    <xdr:to>
      <xdr:col>16</xdr:col>
      <xdr:colOff>251013</xdr:colOff>
      <xdr:row>155</xdr:row>
      <xdr:rowOff>71718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376518</xdr:colOff>
      <xdr:row>132</xdr:row>
      <xdr:rowOff>161364</xdr:rowOff>
    </xdr:from>
    <xdr:to>
      <xdr:col>23</xdr:col>
      <xdr:colOff>618567</xdr:colOff>
      <xdr:row>155</xdr:row>
      <xdr:rowOff>71717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62752</xdr:colOff>
      <xdr:row>133</xdr:row>
      <xdr:rowOff>0</xdr:rowOff>
    </xdr:from>
    <xdr:to>
      <xdr:col>31</xdr:col>
      <xdr:colOff>510990</xdr:colOff>
      <xdr:row>155</xdr:row>
      <xdr:rowOff>80682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67"/>
  <sheetViews>
    <sheetView zoomScale="80" zoomScaleNormal="80" workbookViewId="0">
      <selection activeCell="B32" sqref="B32"/>
    </sheetView>
  </sheetViews>
  <sheetFormatPr defaultColWidth="9.140625" defaultRowHeight="12.75" x14ac:dyDescent="0.2"/>
  <cols>
    <col min="1" max="1" width="28.140625" style="46" customWidth="1"/>
    <col min="2" max="2" width="12.42578125" style="46" bestFit="1" customWidth="1"/>
    <col min="3" max="6" width="10.42578125" style="46" customWidth="1"/>
    <col min="7" max="7" width="11.5703125" style="46" customWidth="1"/>
    <col min="8" max="16" width="10.42578125" style="46" customWidth="1"/>
    <col min="17" max="17" width="10.42578125" style="46" hidden="1" customWidth="1"/>
    <col min="18" max="22" width="0" style="46" hidden="1" customWidth="1"/>
    <col min="23" max="16384" width="9.140625" style="46"/>
  </cols>
  <sheetData>
    <row r="1" spans="1:25" x14ac:dyDescent="0.2">
      <c r="A1" s="72" t="s">
        <v>145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25" x14ac:dyDescent="0.2">
      <c r="A2" s="155" t="s">
        <v>8</v>
      </c>
      <c r="B2" s="254" t="s">
        <v>5</v>
      </c>
      <c r="C2" s="156"/>
      <c r="D2" s="156"/>
      <c r="E2" s="157" t="s">
        <v>38</v>
      </c>
      <c r="F2" s="158"/>
      <c r="G2" s="156"/>
      <c r="H2" s="156"/>
      <c r="I2" s="156"/>
      <c r="J2" s="157" t="s">
        <v>43</v>
      </c>
      <c r="K2" s="159"/>
      <c r="L2" s="71"/>
    </row>
    <row r="3" spans="1:25" x14ac:dyDescent="0.2">
      <c r="A3" s="160" t="s">
        <v>117</v>
      </c>
      <c r="B3" s="137">
        <v>400000</v>
      </c>
      <c r="E3" s="138" t="s">
        <v>60</v>
      </c>
      <c r="F3" s="51">
        <v>0</v>
      </c>
      <c r="J3" s="138" t="s">
        <v>9</v>
      </c>
      <c r="K3" s="161">
        <f>Duties!B10</f>
        <v>1410</v>
      </c>
      <c r="L3" s="71"/>
      <c r="W3" s="46" t="s">
        <v>172</v>
      </c>
      <c r="Y3" s="46" t="s">
        <v>1</v>
      </c>
    </row>
    <row r="4" spans="1:25" x14ac:dyDescent="0.2">
      <c r="A4" s="160" t="s">
        <v>11</v>
      </c>
      <c r="B4" s="137">
        <v>40000</v>
      </c>
      <c r="E4" s="138" t="s">
        <v>68</v>
      </c>
      <c r="F4" s="139"/>
      <c r="J4" s="140" t="s">
        <v>85</v>
      </c>
      <c r="K4" s="161">
        <v>0</v>
      </c>
      <c r="L4" s="71"/>
      <c r="M4" s="141"/>
      <c r="W4" s="46" t="s">
        <v>215</v>
      </c>
      <c r="Y4" s="46" t="s">
        <v>0</v>
      </c>
    </row>
    <row r="5" spans="1:25" x14ac:dyDescent="0.2">
      <c r="A5" s="160" t="s">
        <v>86</v>
      </c>
      <c r="B5" s="142">
        <f>'Input Property 1'!B3+F13+K13</f>
        <v>402910</v>
      </c>
      <c r="C5" s="142"/>
      <c r="E5" s="138" t="s">
        <v>61</v>
      </c>
      <c r="F5" s="139">
        <v>800</v>
      </c>
      <c r="J5" s="140" t="s">
        <v>221</v>
      </c>
      <c r="K5" s="162">
        <f>K4*0.11</f>
        <v>0</v>
      </c>
      <c r="L5" s="71"/>
      <c r="M5" s="141"/>
      <c r="W5" s="46" t="s">
        <v>216</v>
      </c>
      <c r="Y5" s="46" t="s">
        <v>5</v>
      </c>
    </row>
    <row r="6" spans="1:25" x14ac:dyDescent="0.2">
      <c r="A6" s="160" t="s">
        <v>17</v>
      </c>
      <c r="B6" s="137">
        <v>330</v>
      </c>
      <c r="E6" s="138" t="s">
        <v>62</v>
      </c>
      <c r="F6" s="139"/>
      <c r="G6" s="51"/>
      <c r="J6" s="138" t="s">
        <v>87</v>
      </c>
      <c r="K6" s="163"/>
      <c r="L6" s="71"/>
      <c r="M6" s="141"/>
      <c r="W6" s="46" t="s">
        <v>217</v>
      </c>
      <c r="Y6" s="46" t="s">
        <v>7</v>
      </c>
    </row>
    <row r="7" spans="1:25" x14ac:dyDescent="0.2">
      <c r="A7" s="160" t="s">
        <v>149</v>
      </c>
      <c r="B7" s="143">
        <v>50</v>
      </c>
      <c r="E7" s="138" t="s">
        <v>63</v>
      </c>
      <c r="F7" s="139"/>
      <c r="G7" s="51"/>
      <c r="J7" s="138" t="s">
        <v>222</v>
      </c>
      <c r="K7" s="162">
        <f>K6*0.11</f>
        <v>0</v>
      </c>
      <c r="L7" s="71"/>
      <c r="M7" s="141"/>
      <c r="W7" s="46" t="s">
        <v>37</v>
      </c>
      <c r="Y7" s="46" t="s">
        <v>4</v>
      </c>
    </row>
    <row r="8" spans="1:25" x14ac:dyDescent="0.2">
      <c r="A8" s="212" t="s">
        <v>84</v>
      </c>
      <c r="B8" s="147">
        <f>(B3-B4)/B3</f>
        <v>0.9</v>
      </c>
      <c r="C8" s="249" t="str">
        <f>IF(B8&gt;0.8,"LMI?","")</f>
        <v>LMI?</v>
      </c>
      <c r="E8" s="138" t="s">
        <v>64</v>
      </c>
      <c r="F8" s="139">
        <v>300</v>
      </c>
      <c r="G8" s="51"/>
      <c r="J8" s="140" t="s">
        <v>73</v>
      </c>
      <c r="K8" s="161">
        <v>0</v>
      </c>
      <c r="L8" s="71"/>
      <c r="M8" s="141"/>
      <c r="Y8" s="46" t="s">
        <v>6</v>
      </c>
    </row>
    <row r="9" spans="1:25" x14ac:dyDescent="0.2">
      <c r="A9" s="85"/>
      <c r="J9" s="140" t="s">
        <v>65</v>
      </c>
      <c r="K9" s="161"/>
      <c r="L9" s="71"/>
      <c r="M9" s="141"/>
      <c r="Y9" s="46" t="s">
        <v>3</v>
      </c>
    </row>
    <row r="10" spans="1:25" x14ac:dyDescent="0.2">
      <c r="A10" s="85"/>
      <c r="G10" s="51"/>
      <c r="J10" s="138" t="s">
        <v>67</v>
      </c>
      <c r="K10" s="161"/>
      <c r="L10" s="71"/>
      <c r="M10" s="141"/>
      <c r="Y10" s="46" t="s">
        <v>2</v>
      </c>
    </row>
    <row r="11" spans="1:25" x14ac:dyDescent="0.2">
      <c r="A11" s="85"/>
      <c r="F11" s="51"/>
      <c r="G11" s="51"/>
      <c r="J11" s="138" t="s">
        <v>66</v>
      </c>
      <c r="K11" s="161">
        <v>400</v>
      </c>
      <c r="L11" s="71"/>
      <c r="M11" s="141"/>
    </row>
    <row r="12" spans="1:25" x14ac:dyDescent="0.2">
      <c r="A12" s="85"/>
      <c r="K12" s="164"/>
      <c r="L12" s="71"/>
      <c r="M12" s="141"/>
    </row>
    <row r="13" spans="1:25" x14ac:dyDescent="0.2">
      <c r="A13" s="88"/>
      <c r="B13" s="165"/>
      <c r="C13" s="165"/>
      <c r="D13" s="165"/>
      <c r="E13" s="166" t="s">
        <v>44</v>
      </c>
      <c r="F13" s="167">
        <f>SUM(F3:F11)</f>
        <v>1100</v>
      </c>
      <c r="G13" s="165"/>
      <c r="H13" s="165"/>
      <c r="I13" s="165"/>
      <c r="J13" s="168" t="s">
        <v>44</v>
      </c>
      <c r="K13" s="169">
        <f>SUM(K3:K11)</f>
        <v>1810</v>
      </c>
      <c r="L13" s="71"/>
    </row>
    <row r="14" spans="1:25" hidden="1" x14ac:dyDescent="0.2">
      <c r="A14" s="136" t="s">
        <v>82</v>
      </c>
      <c r="B14" s="145">
        <f>'Input Property 1'!B3+F13+SUM(K4:K11)-B4</f>
        <v>361500</v>
      </c>
      <c r="C14" s="82"/>
      <c r="D14" s="82"/>
      <c r="E14" s="200"/>
      <c r="F14" s="201"/>
      <c r="G14" s="82"/>
      <c r="H14" s="82"/>
      <c r="I14" s="82"/>
      <c r="J14" s="202"/>
      <c r="K14" s="203"/>
      <c r="L14" s="71"/>
    </row>
    <row r="15" spans="1:25" x14ac:dyDescent="0.2">
      <c r="A15" s="60"/>
      <c r="B15" s="60"/>
      <c r="C15" s="60"/>
      <c r="D15" s="82"/>
      <c r="E15" s="82"/>
      <c r="F15" s="82"/>
      <c r="G15" s="82"/>
      <c r="H15" s="60"/>
      <c r="I15" s="60"/>
      <c r="J15" s="60"/>
      <c r="K15" s="60"/>
    </row>
    <row r="16" spans="1:25" x14ac:dyDescent="0.2">
      <c r="A16" s="136" t="s">
        <v>82</v>
      </c>
      <c r="B16" s="142">
        <f>B5-B4+Duties!B10</f>
        <v>364320</v>
      </c>
      <c r="C16" s="75"/>
      <c r="D16" s="178"/>
      <c r="E16" s="381" t="s">
        <v>213</v>
      </c>
      <c r="F16" s="382"/>
      <c r="G16" s="171"/>
      <c r="H16" s="71"/>
      <c r="I16" s="170"/>
      <c r="J16" s="156" t="s">
        <v>219</v>
      </c>
      <c r="K16" s="171"/>
    </row>
    <row r="17" spans="1:22" x14ac:dyDescent="0.2">
      <c r="A17" s="136" t="s">
        <v>83</v>
      </c>
      <c r="B17" s="145">
        <v>0</v>
      </c>
      <c r="C17" s="75"/>
      <c r="D17" s="379" t="s">
        <v>119</v>
      </c>
      <c r="E17" s="380"/>
      <c r="F17" s="217">
        <v>7.0000000000000007E-2</v>
      </c>
      <c r="G17" s="164"/>
      <c r="H17" s="71"/>
      <c r="I17" s="379" t="s">
        <v>119</v>
      </c>
      <c r="J17" s="380"/>
      <c r="K17" s="183">
        <f>F17</f>
        <v>7.0000000000000007E-2</v>
      </c>
    </row>
    <row r="18" spans="1:22" x14ac:dyDescent="0.2">
      <c r="A18" s="136" t="s">
        <v>88</v>
      </c>
      <c r="B18" s="255">
        <v>3.6999999999999998E-2</v>
      </c>
      <c r="C18" s="75"/>
      <c r="D18" s="85"/>
      <c r="E18" s="179" t="s">
        <v>54</v>
      </c>
      <c r="F18" s="181">
        <v>250</v>
      </c>
      <c r="G18" s="182" t="s">
        <v>217</v>
      </c>
      <c r="H18" s="71"/>
      <c r="I18" s="85"/>
      <c r="J18" s="146" t="s">
        <v>54</v>
      </c>
      <c r="K18" s="184">
        <f t="shared" ref="K18:K31" si="0">IF(G18=$W$3,F18*52.25,IF(G18=$W$4,F18*26,IF(G18=$W$5,F18*12,IF(G18=$W$6,F18*4,IF(G18=$W$7,F18,0)))))</f>
        <v>1000</v>
      </c>
    </row>
    <row r="19" spans="1:22" x14ac:dyDescent="0.2">
      <c r="A19" s="136" t="s">
        <v>89</v>
      </c>
      <c r="B19" s="147">
        <v>0</v>
      </c>
      <c r="C19" s="75"/>
      <c r="D19" s="85"/>
      <c r="E19" s="179" t="s">
        <v>55</v>
      </c>
      <c r="F19" s="181">
        <v>500</v>
      </c>
      <c r="G19" s="182" t="s">
        <v>37</v>
      </c>
      <c r="H19" s="71"/>
      <c r="I19" s="85"/>
      <c r="J19" s="146" t="s">
        <v>55</v>
      </c>
      <c r="K19" s="184">
        <f t="shared" si="0"/>
        <v>500</v>
      </c>
    </row>
    <row r="20" spans="1:22" x14ac:dyDescent="0.2">
      <c r="A20" s="136" t="s">
        <v>29</v>
      </c>
      <c r="B20" s="148">
        <v>43623</v>
      </c>
      <c r="C20" s="75"/>
      <c r="D20" s="85"/>
      <c r="E20" s="179" t="s">
        <v>212</v>
      </c>
      <c r="F20" s="181">
        <v>0</v>
      </c>
      <c r="G20" s="182" t="s">
        <v>172</v>
      </c>
      <c r="H20" s="71"/>
      <c r="I20" s="85"/>
      <c r="J20" s="146" t="s">
        <v>212</v>
      </c>
      <c r="K20" s="184">
        <f t="shared" si="0"/>
        <v>0</v>
      </c>
    </row>
    <row r="21" spans="1:22" x14ac:dyDescent="0.2">
      <c r="A21" s="136" t="s">
        <v>155</v>
      </c>
      <c r="B21" s="251">
        <f>DATE(YEAR(B20),6,30)</f>
        <v>43646</v>
      </c>
      <c r="C21" s="75"/>
      <c r="D21" s="85"/>
      <c r="E21" s="179" t="s">
        <v>28</v>
      </c>
      <c r="F21" s="181">
        <v>50</v>
      </c>
      <c r="G21" s="182" t="s">
        <v>216</v>
      </c>
      <c r="H21" s="71"/>
      <c r="I21" s="85"/>
      <c r="J21" s="146" t="s">
        <v>28</v>
      </c>
      <c r="K21" s="184">
        <f t="shared" si="0"/>
        <v>600</v>
      </c>
    </row>
    <row r="22" spans="1:22" x14ac:dyDescent="0.2">
      <c r="A22" s="212" t="s">
        <v>165</v>
      </c>
      <c r="B22" s="211">
        <v>3.5000000000000003E-2</v>
      </c>
      <c r="C22" s="75"/>
      <c r="D22" s="85"/>
      <c r="E22" s="179" t="s">
        <v>18</v>
      </c>
      <c r="F22" s="181">
        <v>0</v>
      </c>
      <c r="G22" s="182" t="s">
        <v>172</v>
      </c>
      <c r="H22" s="71"/>
      <c r="I22" s="85"/>
      <c r="J22" s="146" t="s">
        <v>18</v>
      </c>
      <c r="K22" s="184">
        <f t="shared" si="0"/>
        <v>0</v>
      </c>
    </row>
    <row r="23" spans="1:22" x14ac:dyDescent="0.2">
      <c r="A23" s="212" t="s">
        <v>243</v>
      </c>
      <c r="B23" s="211">
        <v>0.08</v>
      </c>
      <c r="C23" s="177"/>
      <c r="D23" s="85"/>
      <c r="E23" s="179" t="s">
        <v>19</v>
      </c>
      <c r="F23" s="181">
        <v>1600</v>
      </c>
      <c r="G23" s="182" t="s">
        <v>37</v>
      </c>
      <c r="H23" s="71"/>
      <c r="I23" s="85"/>
      <c r="J23" s="146" t="s">
        <v>19</v>
      </c>
      <c r="K23" s="184">
        <f t="shared" si="0"/>
        <v>1600</v>
      </c>
    </row>
    <row r="24" spans="1:22" x14ac:dyDescent="0.2">
      <c r="C24" s="75"/>
      <c r="D24" s="85"/>
      <c r="E24" s="179" t="s">
        <v>20</v>
      </c>
      <c r="F24" s="181">
        <v>0</v>
      </c>
      <c r="G24" s="182" t="s">
        <v>172</v>
      </c>
      <c r="H24" s="71"/>
      <c r="I24" s="85"/>
      <c r="J24" s="146" t="s">
        <v>20</v>
      </c>
      <c r="K24" s="184">
        <f t="shared" si="0"/>
        <v>0</v>
      </c>
    </row>
    <row r="25" spans="1:22" x14ac:dyDescent="0.2">
      <c r="A25" s="144" t="s">
        <v>148</v>
      </c>
      <c r="B25" s="149"/>
      <c r="C25" s="75"/>
      <c r="D25" s="85"/>
      <c r="E25" s="179" t="s">
        <v>21</v>
      </c>
      <c r="F25" s="181">
        <v>0</v>
      </c>
      <c r="G25" s="182" t="s">
        <v>172</v>
      </c>
      <c r="H25" s="71"/>
      <c r="I25" s="85"/>
      <c r="J25" s="146" t="s">
        <v>21</v>
      </c>
      <c r="K25" s="184">
        <f t="shared" si="0"/>
        <v>0</v>
      </c>
    </row>
    <row r="26" spans="1:22" x14ac:dyDescent="0.2">
      <c r="A26" s="136" t="s">
        <v>140</v>
      </c>
      <c r="B26" s="150">
        <v>0.5</v>
      </c>
      <c r="C26" s="75"/>
      <c r="D26" s="85"/>
      <c r="E26" s="179" t="s">
        <v>22</v>
      </c>
      <c r="F26" s="181">
        <v>0</v>
      </c>
      <c r="G26" s="182" t="s">
        <v>172</v>
      </c>
      <c r="H26" s="71"/>
      <c r="I26" s="85"/>
      <c r="J26" s="146" t="s">
        <v>22</v>
      </c>
      <c r="K26" s="184">
        <f t="shared" si="0"/>
        <v>0</v>
      </c>
      <c r="V26" s="46">
        <v>0.5</v>
      </c>
    </row>
    <row r="27" spans="1:22" x14ac:dyDescent="0.2">
      <c r="A27" s="136" t="s">
        <v>141</v>
      </c>
      <c r="B27" s="151">
        <f>1-B26</f>
        <v>0.5</v>
      </c>
      <c r="C27" s="75"/>
      <c r="D27" s="85"/>
      <c r="E27" s="179" t="s">
        <v>23</v>
      </c>
      <c r="F27" s="181">
        <v>0</v>
      </c>
      <c r="G27" s="182" t="s">
        <v>172</v>
      </c>
      <c r="H27" s="71"/>
      <c r="I27" s="85"/>
      <c r="J27" s="146" t="s">
        <v>23</v>
      </c>
      <c r="K27" s="184">
        <f t="shared" si="0"/>
        <v>0</v>
      </c>
      <c r="V27" s="46">
        <v>1</v>
      </c>
    </row>
    <row r="28" spans="1:22" x14ac:dyDescent="0.2">
      <c r="A28" s="144" t="s">
        <v>50</v>
      </c>
      <c r="B28" s="151"/>
      <c r="C28" s="75"/>
      <c r="D28" s="85"/>
      <c r="E28" s="179" t="s">
        <v>24</v>
      </c>
      <c r="F28" s="181">
        <v>0</v>
      </c>
      <c r="G28" s="182" t="s">
        <v>172</v>
      </c>
      <c r="H28" s="71"/>
      <c r="I28" s="85"/>
      <c r="J28" s="146" t="s">
        <v>24</v>
      </c>
      <c r="K28" s="184">
        <f t="shared" si="0"/>
        <v>0</v>
      </c>
      <c r="V28" s="46">
        <v>2</v>
      </c>
    </row>
    <row r="29" spans="1:22" x14ac:dyDescent="0.2">
      <c r="A29" s="136" t="s">
        <v>146</v>
      </c>
      <c r="B29" s="152">
        <v>123000</v>
      </c>
      <c r="C29" s="75"/>
      <c r="D29" s="85"/>
      <c r="E29" s="179" t="s">
        <v>25</v>
      </c>
      <c r="F29" s="181">
        <v>0</v>
      </c>
      <c r="G29" s="182" t="s">
        <v>215</v>
      </c>
      <c r="H29" s="71"/>
      <c r="I29" s="85"/>
      <c r="J29" s="146" t="s">
        <v>25</v>
      </c>
      <c r="K29" s="184">
        <f t="shared" si="0"/>
        <v>0</v>
      </c>
    </row>
    <row r="30" spans="1:22" x14ac:dyDescent="0.2">
      <c r="A30" s="136" t="s">
        <v>147</v>
      </c>
      <c r="B30" s="152">
        <v>96000</v>
      </c>
      <c r="C30" s="75"/>
      <c r="D30" s="85"/>
      <c r="E30" s="179" t="s">
        <v>26</v>
      </c>
      <c r="F30" s="181">
        <v>11</v>
      </c>
      <c r="G30" s="182" t="s">
        <v>172</v>
      </c>
      <c r="H30" s="71"/>
      <c r="I30" s="85"/>
      <c r="J30" s="146" t="s">
        <v>26</v>
      </c>
      <c r="K30" s="184">
        <f t="shared" si="0"/>
        <v>574.75</v>
      </c>
    </row>
    <row r="31" spans="1:22" x14ac:dyDescent="0.2">
      <c r="A31" s="136" t="s">
        <v>242</v>
      </c>
      <c r="B31" s="211">
        <v>0.02</v>
      </c>
      <c r="C31" s="75"/>
      <c r="D31" s="85"/>
      <c r="E31" s="179" t="s">
        <v>27</v>
      </c>
      <c r="F31" s="181">
        <v>0</v>
      </c>
      <c r="G31" s="182" t="s">
        <v>172</v>
      </c>
      <c r="H31" s="71"/>
      <c r="I31" s="85"/>
      <c r="J31" s="146" t="s">
        <v>27</v>
      </c>
      <c r="K31" s="184">
        <f t="shared" si="0"/>
        <v>0</v>
      </c>
    </row>
    <row r="32" spans="1:22" x14ac:dyDescent="0.2">
      <c r="A32" s="136" t="s">
        <v>30</v>
      </c>
      <c r="B32" s="148">
        <v>43342</v>
      </c>
      <c r="C32" s="75"/>
      <c r="D32" s="88"/>
      <c r="E32" s="180"/>
      <c r="F32" s="218"/>
      <c r="G32" s="219"/>
      <c r="H32" s="71"/>
      <c r="I32" s="88"/>
      <c r="J32" s="172"/>
      <c r="K32" s="185"/>
    </row>
    <row r="33" spans="1:17" x14ac:dyDescent="0.2">
      <c r="A33" s="174" t="s">
        <v>156</v>
      </c>
      <c r="B33" s="175">
        <f>B20+(100*365)</f>
        <v>80123</v>
      </c>
      <c r="C33" s="75"/>
      <c r="H33" s="71"/>
      <c r="K33" s="60"/>
    </row>
    <row r="34" spans="1:17" x14ac:dyDescent="0.2">
      <c r="A34" s="174" t="s">
        <v>223</v>
      </c>
      <c r="B34" s="187">
        <v>0.3</v>
      </c>
      <c r="C34" s="75"/>
      <c r="D34" s="60"/>
      <c r="E34" s="60"/>
      <c r="F34" s="60"/>
      <c r="G34" s="60"/>
      <c r="H34" s="71"/>
      <c r="K34" s="60"/>
    </row>
    <row r="35" spans="1:17" x14ac:dyDescent="0.2">
      <c r="A35" s="174" t="s">
        <v>224</v>
      </c>
      <c r="B35" s="192">
        <v>5000</v>
      </c>
      <c r="C35" s="75"/>
      <c r="D35" s="60"/>
      <c r="E35" s="60"/>
      <c r="F35" s="60"/>
      <c r="G35" s="60"/>
      <c r="H35" s="71"/>
      <c r="K35" s="60"/>
    </row>
    <row r="36" spans="1:17" x14ac:dyDescent="0.2">
      <c r="A36" s="212" t="s">
        <v>150</v>
      </c>
      <c r="B36" s="211">
        <v>2.5000000000000001E-2</v>
      </c>
      <c r="D36" s="60"/>
      <c r="E36" s="60"/>
      <c r="F36" s="60"/>
      <c r="G36" s="60"/>
      <c r="K36" s="60"/>
    </row>
    <row r="37" spans="1:17" x14ac:dyDescent="0.2">
      <c r="A37" s="214"/>
      <c r="B37" s="247"/>
      <c r="C37" s="76"/>
      <c r="D37" s="82"/>
      <c r="E37" s="82"/>
      <c r="F37" s="82"/>
      <c r="G37" s="82"/>
      <c r="H37" s="76"/>
      <c r="I37" s="76"/>
      <c r="J37" s="76"/>
      <c r="K37" s="82"/>
      <c r="L37" s="76"/>
      <c r="M37" s="76"/>
      <c r="N37" s="76"/>
      <c r="O37" s="76"/>
      <c r="P37" s="76"/>
      <c r="Q37" s="76"/>
    </row>
    <row r="38" spans="1:17" x14ac:dyDescent="0.2">
      <c r="A38" s="214" t="s">
        <v>244</v>
      </c>
      <c r="B38" s="216">
        <v>1</v>
      </c>
      <c r="C38" s="76"/>
      <c r="D38" s="82"/>
      <c r="E38" s="82"/>
      <c r="F38" s="82"/>
      <c r="G38" s="82"/>
      <c r="H38" s="76"/>
      <c r="I38" s="76"/>
      <c r="J38" s="76"/>
      <c r="K38" s="82"/>
      <c r="L38" s="76"/>
      <c r="M38" s="76"/>
      <c r="N38" s="76"/>
      <c r="O38" s="76"/>
      <c r="P38" s="76"/>
      <c r="Q38" s="76"/>
    </row>
    <row r="39" spans="1:17" x14ac:dyDescent="0.2">
      <c r="A39" s="214" t="s">
        <v>220</v>
      </c>
      <c r="B39" s="215">
        <v>0.8</v>
      </c>
      <c r="C39" s="76"/>
      <c r="D39" s="82"/>
      <c r="E39" s="82"/>
      <c r="F39" s="82"/>
      <c r="G39" s="82"/>
      <c r="H39" s="76"/>
      <c r="I39" s="76"/>
      <c r="J39" s="76"/>
      <c r="K39" s="82"/>
      <c r="L39" s="76"/>
      <c r="M39" s="76"/>
      <c r="N39" s="76"/>
      <c r="O39" s="76"/>
      <c r="P39" s="76"/>
      <c r="Q39" s="76"/>
    </row>
    <row r="40" spans="1:17" x14ac:dyDescent="0.2">
      <c r="A40" s="214"/>
      <c r="B40" s="247"/>
      <c r="C40" s="76"/>
      <c r="D40" s="82"/>
      <c r="E40" s="82"/>
      <c r="F40" s="82"/>
      <c r="G40" s="82"/>
      <c r="H40" s="76"/>
      <c r="I40" s="76"/>
      <c r="J40" s="76"/>
      <c r="K40" s="82"/>
      <c r="L40" s="76"/>
      <c r="M40" s="76"/>
      <c r="N40" s="76"/>
      <c r="O40" s="76"/>
      <c r="P40" s="76"/>
      <c r="Q40" s="76"/>
    </row>
    <row r="41" spans="1:17" x14ac:dyDescent="0.2">
      <c r="A41" s="214"/>
      <c r="B41" s="247"/>
      <c r="C41" s="76"/>
      <c r="D41" s="82"/>
      <c r="E41" s="82"/>
      <c r="F41" s="82"/>
      <c r="G41" s="82"/>
      <c r="H41" s="76"/>
      <c r="I41" s="76"/>
      <c r="J41" s="76"/>
      <c r="K41" s="82"/>
      <c r="L41" s="76"/>
      <c r="M41" s="76"/>
      <c r="N41" s="76"/>
      <c r="O41" s="76"/>
      <c r="P41" s="76"/>
      <c r="Q41" s="76"/>
    </row>
    <row r="42" spans="1:17" x14ac:dyDescent="0.2">
      <c r="A42" s="214"/>
      <c r="B42" s="247"/>
      <c r="C42" s="76"/>
      <c r="D42" s="82"/>
      <c r="E42" s="82"/>
      <c r="F42" s="82"/>
      <c r="G42" s="82"/>
      <c r="H42" s="76"/>
      <c r="I42" s="76"/>
      <c r="J42" s="76"/>
      <c r="K42" s="82"/>
      <c r="L42" s="76"/>
      <c r="M42" s="76"/>
      <c r="N42" s="76"/>
      <c r="O42" s="76"/>
      <c r="P42" s="76"/>
      <c r="Q42" s="76"/>
    </row>
    <row r="43" spans="1:17" ht="13.5" thickBot="1" x14ac:dyDescent="0.25">
      <c r="A43" s="213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</row>
    <row r="44" spans="1:17" x14ac:dyDescent="0.2">
      <c r="A44" s="221"/>
      <c r="B44" s="222" t="s">
        <v>95</v>
      </c>
      <c r="C44" s="222" t="s">
        <v>96</v>
      </c>
      <c r="D44" s="222" t="s">
        <v>97</v>
      </c>
      <c r="E44" s="222" t="s">
        <v>98</v>
      </c>
      <c r="F44" s="222" t="s">
        <v>99</v>
      </c>
      <c r="G44" s="222" t="s">
        <v>100</v>
      </c>
      <c r="H44" s="222" t="s">
        <v>101</v>
      </c>
      <c r="I44" s="222" t="s">
        <v>102</v>
      </c>
      <c r="J44" s="222" t="s">
        <v>103</v>
      </c>
      <c r="K44" s="222" t="s">
        <v>104</v>
      </c>
      <c r="L44" s="222" t="s">
        <v>105</v>
      </c>
      <c r="M44" s="222" t="s">
        <v>106</v>
      </c>
      <c r="N44" s="222" t="s">
        <v>107</v>
      </c>
      <c r="O44" s="222" t="s">
        <v>108</v>
      </c>
      <c r="P44" s="223" t="s">
        <v>109</v>
      </c>
      <c r="Q44" s="71"/>
    </row>
    <row r="45" spans="1:17" x14ac:dyDescent="0.2">
      <c r="A45" s="224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225"/>
      <c r="Q45" s="71"/>
    </row>
    <row r="46" spans="1:17" x14ac:dyDescent="0.2">
      <c r="A46" s="224" t="s">
        <v>146</v>
      </c>
      <c r="B46" s="47">
        <f>B29</f>
        <v>123000</v>
      </c>
      <c r="C46" s="47">
        <f>B46*(1+B47)</f>
        <v>125460</v>
      </c>
      <c r="D46" s="47">
        <f t="shared" ref="D46:P46" si="1">C46*(1+C47)</f>
        <v>127969.2</v>
      </c>
      <c r="E46" s="47">
        <f t="shared" si="1"/>
        <v>130528.584</v>
      </c>
      <c r="F46" s="47">
        <f t="shared" si="1"/>
        <v>133139.15568</v>
      </c>
      <c r="G46" s="47">
        <f t="shared" si="1"/>
        <v>135801.93879360001</v>
      </c>
      <c r="H46" s="47">
        <f t="shared" si="1"/>
        <v>138517.97756947202</v>
      </c>
      <c r="I46" s="47">
        <f t="shared" si="1"/>
        <v>141288.33712086146</v>
      </c>
      <c r="J46" s="47">
        <f t="shared" si="1"/>
        <v>144114.10386327869</v>
      </c>
      <c r="K46" s="47">
        <f t="shared" si="1"/>
        <v>146996.38594054428</v>
      </c>
      <c r="L46" s="47">
        <f t="shared" si="1"/>
        <v>149936.31365935516</v>
      </c>
      <c r="M46" s="47">
        <f t="shared" si="1"/>
        <v>152935.03993254228</v>
      </c>
      <c r="N46" s="47">
        <f t="shared" si="1"/>
        <v>155993.74073119313</v>
      </c>
      <c r="O46" s="47">
        <f t="shared" si="1"/>
        <v>159113.61554581701</v>
      </c>
      <c r="P46" s="226">
        <f t="shared" si="1"/>
        <v>162295.88785673334</v>
      </c>
      <c r="Q46" s="71"/>
    </row>
    <row r="47" spans="1:17" x14ac:dyDescent="0.2">
      <c r="A47" s="224" t="s">
        <v>218</v>
      </c>
      <c r="B47" s="186">
        <f>$B$31</f>
        <v>0.02</v>
      </c>
      <c r="C47" s="186">
        <f t="shared" ref="C47:P47" si="2">$B$31</f>
        <v>0.02</v>
      </c>
      <c r="D47" s="186">
        <f t="shared" si="2"/>
        <v>0.02</v>
      </c>
      <c r="E47" s="186">
        <f t="shared" si="2"/>
        <v>0.02</v>
      </c>
      <c r="F47" s="186">
        <f t="shared" si="2"/>
        <v>0.02</v>
      </c>
      <c r="G47" s="186">
        <f t="shared" si="2"/>
        <v>0.02</v>
      </c>
      <c r="H47" s="186">
        <f t="shared" si="2"/>
        <v>0.02</v>
      </c>
      <c r="I47" s="186">
        <f t="shared" si="2"/>
        <v>0.02</v>
      </c>
      <c r="J47" s="186">
        <f t="shared" si="2"/>
        <v>0.02</v>
      </c>
      <c r="K47" s="186">
        <f t="shared" si="2"/>
        <v>0.02</v>
      </c>
      <c r="L47" s="186">
        <f t="shared" si="2"/>
        <v>0.02</v>
      </c>
      <c r="M47" s="186">
        <f t="shared" si="2"/>
        <v>0.02</v>
      </c>
      <c r="N47" s="186">
        <f t="shared" si="2"/>
        <v>0.02</v>
      </c>
      <c r="O47" s="186">
        <f t="shared" si="2"/>
        <v>0.02</v>
      </c>
      <c r="P47" s="227">
        <f t="shared" si="2"/>
        <v>0.02</v>
      </c>
      <c r="Q47" s="71"/>
    </row>
    <row r="48" spans="1:17" x14ac:dyDescent="0.2">
      <c r="A48" s="224" t="s">
        <v>147</v>
      </c>
      <c r="B48" s="47">
        <f>B30</f>
        <v>96000</v>
      </c>
      <c r="C48" s="47">
        <f>B48*(1+B49)</f>
        <v>97920</v>
      </c>
      <c r="D48" s="47">
        <f t="shared" ref="D48:P48" si="3">C48*(1+C49)</f>
        <v>99878.400000000009</v>
      </c>
      <c r="E48" s="47">
        <f t="shared" si="3"/>
        <v>101875.96800000001</v>
      </c>
      <c r="F48" s="47">
        <f t="shared" si="3"/>
        <v>103913.48736000001</v>
      </c>
      <c r="G48" s="47">
        <f t="shared" si="3"/>
        <v>105991.75710720001</v>
      </c>
      <c r="H48" s="47">
        <f t="shared" si="3"/>
        <v>108111.59224934402</v>
      </c>
      <c r="I48" s="47">
        <f t="shared" si="3"/>
        <v>110273.82409433089</v>
      </c>
      <c r="J48" s="47">
        <f t="shared" si="3"/>
        <v>112479.30057621752</v>
      </c>
      <c r="K48" s="47">
        <f t="shared" si="3"/>
        <v>114728.88658774187</v>
      </c>
      <c r="L48" s="47">
        <f t="shared" si="3"/>
        <v>117023.46431949671</v>
      </c>
      <c r="M48" s="47">
        <f t="shared" si="3"/>
        <v>119363.93360588665</v>
      </c>
      <c r="N48" s="47">
        <f t="shared" si="3"/>
        <v>121751.21227800439</v>
      </c>
      <c r="O48" s="47">
        <f t="shared" si="3"/>
        <v>124186.23652356448</v>
      </c>
      <c r="P48" s="226">
        <f t="shared" si="3"/>
        <v>126669.96125403578</v>
      </c>
      <c r="Q48" s="71"/>
    </row>
    <row r="49" spans="1:22" x14ac:dyDescent="0.2">
      <c r="A49" s="224" t="s">
        <v>218</v>
      </c>
      <c r="B49" s="186">
        <f>$B$31</f>
        <v>0.02</v>
      </c>
      <c r="C49" s="186">
        <f t="shared" ref="C49:P49" si="4">$B$31</f>
        <v>0.02</v>
      </c>
      <c r="D49" s="186">
        <f t="shared" si="4"/>
        <v>0.02</v>
      </c>
      <c r="E49" s="186">
        <f t="shared" si="4"/>
        <v>0.02</v>
      </c>
      <c r="F49" s="186">
        <f t="shared" si="4"/>
        <v>0.02</v>
      </c>
      <c r="G49" s="186">
        <f t="shared" si="4"/>
        <v>0.02</v>
      </c>
      <c r="H49" s="186">
        <f t="shared" si="4"/>
        <v>0.02</v>
      </c>
      <c r="I49" s="186">
        <f t="shared" si="4"/>
        <v>0.02</v>
      </c>
      <c r="J49" s="186">
        <f t="shared" si="4"/>
        <v>0.02</v>
      </c>
      <c r="K49" s="186">
        <f t="shared" si="4"/>
        <v>0.02</v>
      </c>
      <c r="L49" s="186">
        <f t="shared" si="4"/>
        <v>0.02</v>
      </c>
      <c r="M49" s="186">
        <f t="shared" si="4"/>
        <v>0.02</v>
      </c>
      <c r="N49" s="186">
        <f t="shared" si="4"/>
        <v>0.02</v>
      </c>
      <c r="O49" s="186">
        <f t="shared" si="4"/>
        <v>0.02</v>
      </c>
      <c r="P49" s="227">
        <f t="shared" si="4"/>
        <v>0.02</v>
      </c>
      <c r="Q49" s="71"/>
    </row>
    <row r="50" spans="1:22" x14ac:dyDescent="0.2">
      <c r="A50" s="224" t="s">
        <v>165</v>
      </c>
      <c r="B50" s="147">
        <f>$B$22</f>
        <v>3.5000000000000003E-2</v>
      </c>
      <c r="C50" s="147">
        <f t="shared" ref="C50:P50" si="5">$B$22</f>
        <v>3.5000000000000003E-2</v>
      </c>
      <c r="D50" s="147">
        <f t="shared" si="5"/>
        <v>3.5000000000000003E-2</v>
      </c>
      <c r="E50" s="147">
        <f t="shared" si="5"/>
        <v>3.5000000000000003E-2</v>
      </c>
      <c r="F50" s="147">
        <f t="shared" si="5"/>
        <v>3.5000000000000003E-2</v>
      </c>
      <c r="G50" s="147">
        <f t="shared" si="5"/>
        <v>3.5000000000000003E-2</v>
      </c>
      <c r="H50" s="147">
        <f t="shared" si="5"/>
        <v>3.5000000000000003E-2</v>
      </c>
      <c r="I50" s="147">
        <f t="shared" si="5"/>
        <v>3.5000000000000003E-2</v>
      </c>
      <c r="J50" s="147">
        <f t="shared" si="5"/>
        <v>3.5000000000000003E-2</v>
      </c>
      <c r="K50" s="147">
        <f t="shared" si="5"/>
        <v>3.5000000000000003E-2</v>
      </c>
      <c r="L50" s="147">
        <f t="shared" si="5"/>
        <v>3.5000000000000003E-2</v>
      </c>
      <c r="M50" s="147">
        <f t="shared" si="5"/>
        <v>3.5000000000000003E-2</v>
      </c>
      <c r="N50" s="147">
        <f t="shared" si="5"/>
        <v>3.5000000000000003E-2</v>
      </c>
      <c r="O50" s="147">
        <f t="shared" si="5"/>
        <v>3.5000000000000003E-2</v>
      </c>
      <c r="P50" s="228">
        <f t="shared" si="5"/>
        <v>3.5000000000000003E-2</v>
      </c>
      <c r="Q50" s="71"/>
    </row>
    <row r="51" spans="1:22" x14ac:dyDescent="0.2">
      <c r="A51" s="224" t="s">
        <v>150</v>
      </c>
      <c r="B51" s="239">
        <f>$B$36</f>
        <v>2.5000000000000001E-2</v>
      </c>
      <c r="C51" s="239">
        <f t="shared" ref="C51:P51" si="6">$B$36</f>
        <v>2.5000000000000001E-2</v>
      </c>
      <c r="D51" s="239">
        <f t="shared" si="6"/>
        <v>2.5000000000000001E-2</v>
      </c>
      <c r="E51" s="239">
        <f t="shared" si="6"/>
        <v>2.5000000000000001E-2</v>
      </c>
      <c r="F51" s="239">
        <f t="shared" si="6"/>
        <v>2.5000000000000001E-2</v>
      </c>
      <c r="G51" s="239">
        <f t="shared" si="6"/>
        <v>2.5000000000000001E-2</v>
      </c>
      <c r="H51" s="239">
        <f t="shared" si="6"/>
        <v>2.5000000000000001E-2</v>
      </c>
      <c r="I51" s="239">
        <f t="shared" si="6"/>
        <v>2.5000000000000001E-2</v>
      </c>
      <c r="J51" s="239">
        <f t="shared" si="6"/>
        <v>2.5000000000000001E-2</v>
      </c>
      <c r="K51" s="239">
        <f t="shared" si="6"/>
        <v>2.5000000000000001E-2</v>
      </c>
      <c r="L51" s="239">
        <f t="shared" si="6"/>
        <v>2.5000000000000001E-2</v>
      </c>
      <c r="M51" s="239">
        <f t="shared" si="6"/>
        <v>2.5000000000000001E-2</v>
      </c>
      <c r="N51" s="239">
        <f t="shared" si="6"/>
        <v>2.5000000000000001E-2</v>
      </c>
      <c r="O51" s="239">
        <f t="shared" si="6"/>
        <v>2.5000000000000001E-2</v>
      </c>
      <c r="P51" s="240">
        <f t="shared" si="6"/>
        <v>2.5000000000000001E-2</v>
      </c>
      <c r="Q51" s="71"/>
    </row>
    <row r="52" spans="1:22" s="66" customFormat="1" x14ac:dyDescent="0.2">
      <c r="A52" s="229" t="s">
        <v>151</v>
      </c>
      <c r="B52" s="241">
        <f>$B$23</f>
        <v>0.08</v>
      </c>
      <c r="C52" s="241">
        <f t="shared" ref="C52:V52" si="7">$B$23</f>
        <v>0.08</v>
      </c>
      <c r="D52" s="241">
        <f t="shared" si="7"/>
        <v>0.08</v>
      </c>
      <c r="E52" s="241">
        <f t="shared" si="7"/>
        <v>0.08</v>
      </c>
      <c r="F52" s="241">
        <f t="shared" si="7"/>
        <v>0.08</v>
      </c>
      <c r="G52" s="241">
        <f t="shared" si="7"/>
        <v>0.08</v>
      </c>
      <c r="H52" s="241">
        <f t="shared" si="7"/>
        <v>0.08</v>
      </c>
      <c r="I52" s="241">
        <f t="shared" si="7"/>
        <v>0.08</v>
      </c>
      <c r="J52" s="241">
        <f t="shared" si="7"/>
        <v>0.08</v>
      </c>
      <c r="K52" s="241">
        <f t="shared" si="7"/>
        <v>0.08</v>
      </c>
      <c r="L52" s="241">
        <f t="shared" si="7"/>
        <v>0.08</v>
      </c>
      <c r="M52" s="241">
        <f t="shared" si="7"/>
        <v>0.08</v>
      </c>
      <c r="N52" s="241">
        <f t="shared" si="7"/>
        <v>0.08</v>
      </c>
      <c r="O52" s="241">
        <f t="shared" si="7"/>
        <v>0.08</v>
      </c>
      <c r="P52" s="242">
        <f t="shared" si="7"/>
        <v>0.08</v>
      </c>
      <c r="Q52" s="220">
        <f t="shared" si="7"/>
        <v>0.08</v>
      </c>
      <c r="R52" s="154">
        <f t="shared" si="7"/>
        <v>0.08</v>
      </c>
      <c r="S52" s="154">
        <f t="shared" si="7"/>
        <v>0.08</v>
      </c>
      <c r="T52" s="154">
        <f t="shared" si="7"/>
        <v>0.08</v>
      </c>
      <c r="U52" s="154">
        <f t="shared" si="7"/>
        <v>0.08</v>
      </c>
      <c r="V52" s="154">
        <f t="shared" si="7"/>
        <v>0.08</v>
      </c>
    </row>
    <row r="53" spans="1:22" s="66" customFormat="1" x14ac:dyDescent="0.2">
      <c r="A53" s="229" t="s">
        <v>152</v>
      </c>
      <c r="B53" s="176">
        <f>(52-$B$7)*7</f>
        <v>14</v>
      </c>
      <c r="C53" s="176">
        <f t="shared" ref="C53:P53" si="8">(52-$B$7)*7</f>
        <v>14</v>
      </c>
      <c r="D53" s="176">
        <f t="shared" si="8"/>
        <v>14</v>
      </c>
      <c r="E53" s="176">
        <f t="shared" si="8"/>
        <v>14</v>
      </c>
      <c r="F53" s="176">
        <f t="shared" si="8"/>
        <v>14</v>
      </c>
      <c r="G53" s="176">
        <f t="shared" si="8"/>
        <v>14</v>
      </c>
      <c r="H53" s="176">
        <f t="shared" si="8"/>
        <v>14</v>
      </c>
      <c r="I53" s="176">
        <f t="shared" si="8"/>
        <v>14</v>
      </c>
      <c r="J53" s="176">
        <f t="shared" si="8"/>
        <v>14</v>
      </c>
      <c r="K53" s="176">
        <f t="shared" si="8"/>
        <v>14</v>
      </c>
      <c r="L53" s="176">
        <f t="shared" si="8"/>
        <v>14</v>
      </c>
      <c r="M53" s="176">
        <f t="shared" si="8"/>
        <v>14</v>
      </c>
      <c r="N53" s="176">
        <f t="shared" si="8"/>
        <v>14</v>
      </c>
      <c r="O53" s="176">
        <f t="shared" si="8"/>
        <v>14</v>
      </c>
      <c r="P53" s="230">
        <f t="shared" si="8"/>
        <v>14</v>
      </c>
      <c r="Q53" s="197">
        <v>14</v>
      </c>
      <c r="R53" s="176">
        <v>14</v>
      </c>
      <c r="S53" s="176">
        <v>14</v>
      </c>
      <c r="T53" s="176">
        <v>14</v>
      </c>
      <c r="U53" s="176">
        <v>14</v>
      </c>
      <c r="V53" s="176">
        <v>14</v>
      </c>
    </row>
    <row r="54" spans="1:22" s="66" customFormat="1" x14ac:dyDescent="0.2">
      <c r="A54" s="229" t="s">
        <v>214</v>
      </c>
      <c r="B54" s="243">
        <f>$B$38</f>
        <v>1</v>
      </c>
      <c r="C54" s="243">
        <f t="shared" ref="C54:P54" si="9">$B$38</f>
        <v>1</v>
      </c>
      <c r="D54" s="243">
        <f t="shared" si="9"/>
        <v>1</v>
      </c>
      <c r="E54" s="243">
        <f t="shared" si="9"/>
        <v>1</v>
      </c>
      <c r="F54" s="243">
        <f t="shared" si="9"/>
        <v>1</v>
      </c>
      <c r="G54" s="243">
        <f t="shared" si="9"/>
        <v>1</v>
      </c>
      <c r="H54" s="243">
        <f t="shared" si="9"/>
        <v>1</v>
      </c>
      <c r="I54" s="243">
        <f t="shared" si="9"/>
        <v>1</v>
      </c>
      <c r="J54" s="243">
        <f t="shared" si="9"/>
        <v>1</v>
      </c>
      <c r="K54" s="243">
        <f t="shared" si="9"/>
        <v>1</v>
      </c>
      <c r="L54" s="243">
        <f t="shared" si="9"/>
        <v>1</v>
      </c>
      <c r="M54" s="243">
        <f t="shared" si="9"/>
        <v>1</v>
      </c>
      <c r="N54" s="243">
        <f t="shared" si="9"/>
        <v>1</v>
      </c>
      <c r="O54" s="243">
        <f t="shared" si="9"/>
        <v>1</v>
      </c>
      <c r="P54" s="244">
        <f t="shared" si="9"/>
        <v>1</v>
      </c>
      <c r="Q54" s="173"/>
    </row>
    <row r="55" spans="1:22" x14ac:dyDescent="0.2">
      <c r="A55" s="224" t="s">
        <v>153</v>
      </c>
      <c r="B55" s="245">
        <f>B18</f>
        <v>3.6999999999999998E-2</v>
      </c>
      <c r="C55" s="245">
        <f>$B$55</f>
        <v>3.6999999999999998E-2</v>
      </c>
      <c r="D55" s="245">
        <f t="shared" ref="D55:O55" si="10">$B$55</f>
        <v>3.6999999999999998E-2</v>
      </c>
      <c r="E55" s="245">
        <f t="shared" si="10"/>
        <v>3.6999999999999998E-2</v>
      </c>
      <c r="F55" s="245">
        <f t="shared" si="10"/>
        <v>3.6999999999999998E-2</v>
      </c>
      <c r="G55" s="245">
        <f t="shared" si="10"/>
        <v>3.6999999999999998E-2</v>
      </c>
      <c r="H55" s="245">
        <f t="shared" si="10"/>
        <v>3.6999999999999998E-2</v>
      </c>
      <c r="I55" s="245">
        <f t="shared" si="10"/>
        <v>3.6999999999999998E-2</v>
      </c>
      <c r="J55" s="245">
        <f t="shared" si="10"/>
        <v>3.6999999999999998E-2</v>
      </c>
      <c r="K55" s="245">
        <f t="shared" si="10"/>
        <v>3.6999999999999998E-2</v>
      </c>
      <c r="L55" s="245">
        <f t="shared" si="10"/>
        <v>3.6999999999999998E-2</v>
      </c>
      <c r="M55" s="245">
        <f t="shared" si="10"/>
        <v>3.6999999999999998E-2</v>
      </c>
      <c r="N55" s="245">
        <f t="shared" si="10"/>
        <v>3.6999999999999998E-2</v>
      </c>
      <c r="O55" s="245">
        <f t="shared" si="10"/>
        <v>3.6999999999999998E-2</v>
      </c>
      <c r="P55" s="246">
        <f>$B$55</f>
        <v>3.6999999999999998E-2</v>
      </c>
      <c r="Q55" s="71"/>
    </row>
    <row r="56" spans="1:22" x14ac:dyDescent="0.2">
      <c r="A56" s="231" t="s">
        <v>220</v>
      </c>
      <c r="B56" s="153">
        <f>$B$39</f>
        <v>0.8</v>
      </c>
      <c r="C56" s="153">
        <f t="shared" ref="C56:P56" si="11">$B$39</f>
        <v>0.8</v>
      </c>
      <c r="D56" s="153">
        <f t="shared" si="11"/>
        <v>0.8</v>
      </c>
      <c r="E56" s="153">
        <f t="shared" si="11"/>
        <v>0.8</v>
      </c>
      <c r="F56" s="153">
        <f t="shared" si="11"/>
        <v>0.8</v>
      </c>
      <c r="G56" s="153">
        <f t="shared" si="11"/>
        <v>0.8</v>
      </c>
      <c r="H56" s="153">
        <f t="shared" si="11"/>
        <v>0.8</v>
      </c>
      <c r="I56" s="153">
        <f t="shared" si="11"/>
        <v>0.8</v>
      </c>
      <c r="J56" s="153">
        <f t="shared" si="11"/>
        <v>0.8</v>
      </c>
      <c r="K56" s="153">
        <f t="shared" si="11"/>
        <v>0.8</v>
      </c>
      <c r="L56" s="153">
        <f t="shared" si="11"/>
        <v>0.8</v>
      </c>
      <c r="M56" s="153">
        <f t="shared" si="11"/>
        <v>0.8</v>
      </c>
      <c r="N56" s="153">
        <f t="shared" si="11"/>
        <v>0.8</v>
      </c>
      <c r="O56" s="153">
        <f t="shared" si="11"/>
        <v>0.8</v>
      </c>
      <c r="P56" s="232">
        <f t="shared" si="11"/>
        <v>0.8</v>
      </c>
      <c r="Q56" s="71"/>
    </row>
    <row r="57" spans="1:22" x14ac:dyDescent="0.2">
      <c r="A57" s="224" t="s">
        <v>170</v>
      </c>
      <c r="B57" s="138" t="s">
        <v>169</v>
      </c>
      <c r="C57" s="138" t="s">
        <v>169</v>
      </c>
      <c r="D57" s="138" t="s">
        <v>169</v>
      </c>
      <c r="E57" s="138" t="s">
        <v>169</v>
      </c>
      <c r="F57" s="138" t="s">
        <v>169</v>
      </c>
      <c r="G57" s="138" t="s">
        <v>169</v>
      </c>
      <c r="H57" s="138" t="s">
        <v>169</v>
      </c>
      <c r="I57" s="138" t="s">
        <v>169</v>
      </c>
      <c r="J57" s="138" t="s">
        <v>169</v>
      </c>
      <c r="K57" s="138" t="s">
        <v>169</v>
      </c>
      <c r="L57" s="138" t="s">
        <v>169</v>
      </c>
      <c r="M57" s="138" t="s">
        <v>169</v>
      </c>
      <c r="N57" s="138" t="s">
        <v>169</v>
      </c>
      <c r="O57" s="138" t="s">
        <v>169</v>
      </c>
      <c r="P57" s="225" t="s">
        <v>169</v>
      </c>
      <c r="Q57" s="71"/>
    </row>
    <row r="58" spans="1:22" x14ac:dyDescent="0.2">
      <c r="A58" s="224" t="s">
        <v>173</v>
      </c>
      <c r="B58" s="147">
        <f>$K$17</f>
        <v>7.0000000000000007E-2</v>
      </c>
      <c r="C58" s="147">
        <f t="shared" ref="C58:P58" si="12">$K$17</f>
        <v>7.0000000000000007E-2</v>
      </c>
      <c r="D58" s="147">
        <f t="shared" si="12"/>
        <v>7.0000000000000007E-2</v>
      </c>
      <c r="E58" s="147">
        <f t="shared" si="12"/>
        <v>7.0000000000000007E-2</v>
      </c>
      <c r="F58" s="147">
        <f t="shared" si="12"/>
        <v>7.0000000000000007E-2</v>
      </c>
      <c r="G58" s="147">
        <f t="shared" si="12"/>
        <v>7.0000000000000007E-2</v>
      </c>
      <c r="H58" s="147">
        <f t="shared" si="12"/>
        <v>7.0000000000000007E-2</v>
      </c>
      <c r="I58" s="147">
        <f t="shared" si="12"/>
        <v>7.0000000000000007E-2</v>
      </c>
      <c r="J58" s="147">
        <f t="shared" si="12"/>
        <v>7.0000000000000007E-2</v>
      </c>
      <c r="K58" s="147">
        <f t="shared" si="12"/>
        <v>7.0000000000000007E-2</v>
      </c>
      <c r="L58" s="147">
        <f t="shared" si="12"/>
        <v>7.0000000000000007E-2</v>
      </c>
      <c r="M58" s="147">
        <f t="shared" si="12"/>
        <v>7.0000000000000007E-2</v>
      </c>
      <c r="N58" s="147">
        <f t="shared" si="12"/>
        <v>7.0000000000000007E-2</v>
      </c>
      <c r="O58" s="147">
        <f t="shared" si="12"/>
        <v>7.0000000000000007E-2</v>
      </c>
      <c r="P58" s="228">
        <f t="shared" si="12"/>
        <v>7.0000000000000007E-2</v>
      </c>
      <c r="Q58" s="71"/>
    </row>
    <row r="59" spans="1:22" x14ac:dyDescent="0.2">
      <c r="A59" s="224" t="s">
        <v>230</v>
      </c>
      <c r="B59" s="147">
        <v>0.03</v>
      </c>
      <c r="C59" s="193">
        <f>B59*(1+B51)</f>
        <v>3.0749999999999996E-2</v>
      </c>
      <c r="D59" s="193">
        <f t="shared" ref="D59:P59" si="13">C59*(1+C51)</f>
        <v>3.1518749999999991E-2</v>
      </c>
      <c r="E59" s="193">
        <f t="shared" si="13"/>
        <v>3.2306718749999991E-2</v>
      </c>
      <c r="F59" s="193">
        <f t="shared" si="13"/>
        <v>3.3114386718749986E-2</v>
      </c>
      <c r="G59" s="193">
        <f t="shared" si="13"/>
        <v>3.3942246386718736E-2</v>
      </c>
      <c r="H59" s="193">
        <f t="shared" si="13"/>
        <v>3.4790802546386702E-2</v>
      </c>
      <c r="I59" s="193">
        <f t="shared" si="13"/>
        <v>3.5660572610046369E-2</v>
      </c>
      <c r="J59" s="193">
        <f t="shared" si="13"/>
        <v>3.6552086925297524E-2</v>
      </c>
      <c r="K59" s="193">
        <f t="shared" si="13"/>
        <v>3.7465889098429961E-2</v>
      </c>
      <c r="L59" s="193">
        <f t="shared" si="13"/>
        <v>3.8402536325890704E-2</v>
      </c>
      <c r="M59" s="193">
        <f t="shared" si="13"/>
        <v>3.9362599734037967E-2</v>
      </c>
      <c r="N59" s="193">
        <f t="shared" si="13"/>
        <v>4.034666472738891E-2</v>
      </c>
      <c r="O59" s="193">
        <f t="shared" si="13"/>
        <v>4.1355331345573627E-2</v>
      </c>
      <c r="P59" s="233">
        <f t="shared" si="13"/>
        <v>4.2389214629212961E-2</v>
      </c>
      <c r="Q59" s="71"/>
    </row>
    <row r="60" spans="1:22" x14ac:dyDescent="0.2">
      <c r="A60" s="224" t="s">
        <v>238</v>
      </c>
      <c r="B60" s="47">
        <v>3000</v>
      </c>
      <c r="C60" s="47">
        <f>B60*(1+B51)</f>
        <v>3074.9999999999995</v>
      </c>
      <c r="D60" s="47">
        <f t="shared" ref="D60:P60" si="14">C60*(1+C51)</f>
        <v>3151.8749999999991</v>
      </c>
      <c r="E60" s="47">
        <f t="shared" si="14"/>
        <v>3230.6718749999986</v>
      </c>
      <c r="F60" s="47">
        <f t="shared" si="14"/>
        <v>3311.4386718749984</v>
      </c>
      <c r="G60" s="47">
        <f t="shared" si="14"/>
        <v>3394.224638671873</v>
      </c>
      <c r="H60" s="47">
        <f t="shared" si="14"/>
        <v>3479.0802546386694</v>
      </c>
      <c r="I60" s="47">
        <f t="shared" si="14"/>
        <v>3566.0572610046361</v>
      </c>
      <c r="J60" s="47">
        <f t="shared" si="14"/>
        <v>3655.2086925297517</v>
      </c>
      <c r="K60" s="47">
        <f t="shared" si="14"/>
        <v>3746.5889098429952</v>
      </c>
      <c r="L60" s="47">
        <f t="shared" si="14"/>
        <v>3840.2536325890696</v>
      </c>
      <c r="M60" s="47">
        <f t="shared" si="14"/>
        <v>3936.2599734037958</v>
      </c>
      <c r="N60" s="47">
        <f t="shared" si="14"/>
        <v>4034.6664727388902</v>
      </c>
      <c r="O60" s="47">
        <f t="shared" si="14"/>
        <v>4135.5331345573622</v>
      </c>
      <c r="P60" s="226">
        <f t="shared" si="14"/>
        <v>4238.9214629212956</v>
      </c>
      <c r="Q60" s="71"/>
    </row>
    <row r="61" spans="1:22" x14ac:dyDescent="0.2">
      <c r="A61" s="234" t="s">
        <v>211</v>
      </c>
      <c r="B61" s="191">
        <f>IF(('Data Property 1'!C161-$B$32)&gt;16400,0,$B$66+$B$67)</f>
        <v>3000</v>
      </c>
      <c r="C61" s="191">
        <f>IF(('Data Property 1'!D161-$B$32)&gt;16400,0,$B$66+$B$67)</f>
        <v>3000</v>
      </c>
      <c r="D61" s="191">
        <f>IF(('Data Property 1'!E161-$B$32)&gt;16400,0,$B$66+$B$67)</f>
        <v>3000</v>
      </c>
      <c r="E61" s="191">
        <f>IF(('Data Property 1'!F161-$B$32)&gt;16400,0,$B$66+$B$67)</f>
        <v>3000</v>
      </c>
      <c r="F61" s="191">
        <f>IF(('Data Property 1'!G161-$B$32)&gt;16400,0,$B$66+$B$67)</f>
        <v>3000</v>
      </c>
      <c r="G61" s="191">
        <f>IF(('Data Property 1'!H161-$B$32)&gt;16400,0,$B$66+$B$67)</f>
        <v>3000</v>
      </c>
      <c r="H61" s="191">
        <f>IF(('Data Property 1'!I161-$B$32)&gt;16400,0,$B$66+$B$67)</f>
        <v>3000</v>
      </c>
      <c r="I61" s="191">
        <f>IF(('Data Property 1'!J161-$B$32)&gt;16400,0,$B$66+$B$67)</f>
        <v>3000</v>
      </c>
      <c r="J61" s="191">
        <f>IF(('Data Property 1'!K161-$B$32)&gt;16400,0,$B$66+$B$67)</f>
        <v>3000</v>
      </c>
      <c r="K61" s="191">
        <f>IF(('Data Property 1'!L161-$B$32)&gt;16400,0,$B$66+$B$67)</f>
        <v>3000</v>
      </c>
      <c r="L61" s="191">
        <f>IF(('Data Property 1'!M161-$B$32)&gt;16400,0,$B$66+$B$67)</f>
        <v>3000</v>
      </c>
      <c r="M61" s="191">
        <f>IF(('Data Property 1'!N161-$B$32)&gt;16400,0,$B$66+$B$67)</f>
        <v>3000</v>
      </c>
      <c r="N61" s="191">
        <f>IF(('Data Property 1'!O161-$B$32)&gt;16400,0,$B$66+$B$67)</f>
        <v>3000</v>
      </c>
      <c r="O61" s="191">
        <f>IF(('Data Property 1'!P161-$B$32)&gt;16400,0,$B$66+$B$67)</f>
        <v>3000</v>
      </c>
      <c r="P61" s="235">
        <f>IF(('Data Property 1'!Q161-$B$32)&gt;16400,0,$B$66+$B$67)</f>
        <v>3000</v>
      </c>
      <c r="Q61" s="71"/>
    </row>
    <row r="62" spans="1:22" x14ac:dyDescent="0.2">
      <c r="A62" s="234" t="s">
        <v>225</v>
      </c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235"/>
      <c r="Q62" s="71"/>
    </row>
    <row r="63" spans="1:22" ht="13.5" thickBot="1" x14ac:dyDescent="0.25">
      <c r="A63" s="236" t="s">
        <v>239</v>
      </c>
      <c r="B63" s="237">
        <v>50</v>
      </c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8"/>
      <c r="Q63" s="198"/>
    </row>
    <row r="64" spans="1:22" hidden="1" x14ac:dyDescent="0.2">
      <c r="A64" s="199" t="s">
        <v>123</v>
      </c>
      <c r="B64" s="60">
        <v>52.25</v>
      </c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</row>
    <row r="65" spans="2:2" hidden="1" x14ac:dyDescent="0.2"/>
    <row r="66" spans="2:2" hidden="1" x14ac:dyDescent="0.2">
      <c r="B66" s="46">
        <f>IF(B32&gt;'Tax Table'!F2,('Input Property 1'!B3*'Input Property 1'!B34)*0.025,0)</f>
        <v>3000</v>
      </c>
    </row>
    <row r="67" spans="2:2" hidden="1" x14ac:dyDescent="0.2">
      <c r="B67" s="46" t="b">
        <f>IF('Input Property 1'!B32&gt;'Tax Table'!F1,IF('Input Property 1'!B32&lt;'Tax Table'!F2,('Input Property 1'!B3*'Input Property 1'!B34)*0.04),0)</f>
        <v>0</v>
      </c>
    </row>
  </sheetData>
  <mergeCells count="3">
    <mergeCell ref="I17:J17"/>
    <mergeCell ref="D17:E17"/>
    <mergeCell ref="E16:F16"/>
  </mergeCells>
  <phoneticPr fontId="9" type="noConversion"/>
  <dataValidations count="3">
    <dataValidation type="list" allowBlank="1" showInputMessage="1" showErrorMessage="1" sqref="B2" xr:uid="{00000000-0002-0000-0000-000000000000}">
      <formula1>$Y$3:$Y$10</formula1>
    </dataValidation>
    <dataValidation type="list" showInputMessage="1" showErrorMessage="1" sqref="G32" xr:uid="{00000000-0002-0000-0000-000001000000}">
      <formula1>$Y$11:$Y$16</formula1>
    </dataValidation>
    <dataValidation type="list" showInputMessage="1" showErrorMessage="1" sqref="G18:G31" xr:uid="{00000000-0002-0000-0000-000002000000}">
      <formula1>$W$3:$W$7</formula1>
    </dataValidation>
  </dataValidations>
  <pageMargins left="0.75" right="0.75" top="1" bottom="1" header="0.5" footer="0.5"/>
  <pageSetup paperSize="9" scale="70" orientation="landscape" horizontalDpi="300" verticalDpi="300" r:id="rId1"/>
  <headerFooter alignWithMargins="0"/>
  <rowBreaks count="1" manualBreakCount="1">
    <brk id="63" max="16383" man="1"/>
  </rowBreaks>
  <colBreaks count="1" manualBreakCount="1">
    <brk id="16" max="1048575" man="1"/>
  </col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37"/>
  <sheetViews>
    <sheetView topLeftCell="A214" zoomScale="85" zoomScaleNormal="85" workbookViewId="0">
      <selection activeCell="C230" sqref="C230"/>
    </sheetView>
  </sheetViews>
  <sheetFormatPr defaultColWidth="9.140625" defaultRowHeight="12.75" outlineLevelRow="1" x14ac:dyDescent="0.2"/>
  <cols>
    <col min="1" max="1" width="23.85546875" style="46" customWidth="1"/>
    <col min="2" max="2" width="13.85546875" style="46" customWidth="1"/>
    <col min="3" max="3" width="12.140625" style="341" bestFit="1" customWidth="1"/>
    <col min="4" max="17" width="12.140625" style="46" bestFit="1" customWidth="1"/>
    <col min="18" max="16384" width="9.140625" style="46"/>
  </cols>
  <sheetData>
    <row r="1" spans="1:17" x14ac:dyDescent="0.2">
      <c r="A1" s="76" t="s">
        <v>248</v>
      </c>
      <c r="B1" s="76"/>
      <c r="C1" s="282">
        <v>1</v>
      </c>
      <c r="D1" s="258">
        <v>2</v>
      </c>
      <c r="E1" s="258">
        <v>3</v>
      </c>
      <c r="F1" s="258">
        <v>4</v>
      </c>
      <c r="G1" s="258">
        <v>5</v>
      </c>
      <c r="H1" s="258">
        <v>6</v>
      </c>
      <c r="I1" s="258">
        <v>7</v>
      </c>
      <c r="J1" s="258">
        <v>8</v>
      </c>
      <c r="K1" s="258">
        <v>9</v>
      </c>
      <c r="L1" s="258">
        <v>10</v>
      </c>
      <c r="M1" s="258">
        <v>11</v>
      </c>
      <c r="N1" s="258">
        <v>12</v>
      </c>
      <c r="O1" s="258">
        <v>13</v>
      </c>
      <c r="P1" s="258">
        <v>14</v>
      </c>
      <c r="Q1" s="256">
        <v>15</v>
      </c>
    </row>
    <row r="2" spans="1:17" ht="15.75" x14ac:dyDescent="0.25">
      <c r="A2" s="120" t="s">
        <v>247</v>
      </c>
      <c r="B2" s="120"/>
      <c r="C2" s="283">
        <f>'Data Property 5'!C161</f>
        <v>40724</v>
      </c>
      <c r="D2" s="259">
        <f>'Data Property 5'!D161</f>
        <v>41090</v>
      </c>
      <c r="E2" s="259">
        <f>'Data Property 5'!E161</f>
        <v>41455</v>
      </c>
      <c r="F2" s="259">
        <f>'Data Property 5'!F161</f>
        <v>41820</v>
      </c>
      <c r="G2" s="259">
        <f>'Data Property 5'!G161</f>
        <v>42185</v>
      </c>
      <c r="H2" s="259">
        <f>'Data Property 5'!H161</f>
        <v>42551</v>
      </c>
      <c r="I2" s="259">
        <f>'Data Property 5'!I161</f>
        <v>42916</v>
      </c>
      <c r="J2" s="259">
        <f>'Data Property 5'!J161</f>
        <v>43281</v>
      </c>
      <c r="K2" s="259">
        <f>'Data Property 5'!K161</f>
        <v>43646</v>
      </c>
      <c r="L2" s="259">
        <f>'Data Property 5'!L161</f>
        <v>44012</v>
      </c>
      <c r="M2" s="259">
        <f>'Data Property 5'!M161</f>
        <v>44377</v>
      </c>
      <c r="N2" s="259">
        <f>'Data Property 5'!N161</f>
        <v>44742</v>
      </c>
      <c r="O2" s="259">
        <f>'Data Property 5'!O161</f>
        <v>45107</v>
      </c>
      <c r="P2" s="259">
        <f>'Data Property 5'!P161</f>
        <v>45473</v>
      </c>
      <c r="Q2" s="257">
        <f>'Data Property 5'!Q161</f>
        <v>45838</v>
      </c>
    </row>
    <row r="3" spans="1:17" x14ac:dyDescent="0.2">
      <c r="A3" s="73" t="s">
        <v>120</v>
      </c>
      <c r="B3" s="342"/>
      <c r="C3" s="28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</row>
    <row r="4" spans="1:17" x14ac:dyDescent="0.2">
      <c r="A4" s="83" t="str">
        <f>'Data Property 5'!$A$167</f>
        <v>Interest Loan 1</v>
      </c>
      <c r="B4" s="60"/>
      <c r="C4" s="285">
        <f>-'Data Property 5'!C167</f>
        <v>-3551.0301369863014</v>
      </c>
      <c r="D4" s="84">
        <f>-'Data Property 5'!D167</f>
        <v>-7469.4082191780826</v>
      </c>
      <c r="E4" s="84">
        <f>-'Data Property 5'!E167</f>
        <v>-7449</v>
      </c>
      <c r="F4" s="84">
        <f>-'Data Property 5'!F167</f>
        <v>-7449</v>
      </c>
      <c r="G4" s="84">
        <f>-'Data Property 5'!G167</f>
        <v>-7449</v>
      </c>
      <c r="H4" s="84">
        <f>-'Data Property 5'!H167</f>
        <v>-7469.4082191780826</v>
      </c>
      <c r="I4" s="84">
        <f>-'Data Property 5'!I167</f>
        <v>-7449</v>
      </c>
      <c r="J4" s="84">
        <f>-'Data Property 5'!J167</f>
        <v>-7449</v>
      </c>
      <c r="K4" s="84">
        <f>-'Data Property 5'!K167</f>
        <v>-7449</v>
      </c>
      <c r="L4" s="84">
        <f>-'Data Property 5'!L167</f>
        <v>-7469.4082191780826</v>
      </c>
      <c r="M4" s="84">
        <f>-'Data Property 5'!M167</f>
        <v>-7449</v>
      </c>
      <c r="N4" s="84">
        <f>-'Data Property 5'!N167</f>
        <v>-7449</v>
      </c>
      <c r="O4" s="84">
        <f>-'Data Property 5'!O167</f>
        <v>-7449</v>
      </c>
      <c r="P4" s="84">
        <f>-'Data Property 5'!P167</f>
        <v>-7469.4082191780826</v>
      </c>
      <c r="Q4" s="84">
        <f>-'Data Property 5'!Q167</f>
        <v>-7449</v>
      </c>
    </row>
    <row r="5" spans="1:17" x14ac:dyDescent="0.2">
      <c r="A5" s="85" t="str">
        <f>'Data Property 5'!$A$168</f>
        <v>Interest Loan 2</v>
      </c>
      <c r="B5" s="60"/>
      <c r="C5" s="285">
        <f>-'Data Property 5'!C168</f>
        <v>0</v>
      </c>
      <c r="D5" s="84">
        <f>-'Data Property 5'!D168</f>
        <v>0</v>
      </c>
      <c r="E5" s="84">
        <f>-'Data Property 5'!E168</f>
        <v>0</v>
      </c>
      <c r="F5" s="84">
        <f>-'Data Property 5'!F168</f>
        <v>0</v>
      </c>
      <c r="G5" s="84">
        <f>-'Data Property 5'!G168</f>
        <v>0</v>
      </c>
      <c r="H5" s="84">
        <f>-'Data Property 5'!H168</f>
        <v>0</v>
      </c>
      <c r="I5" s="84">
        <f>-'Data Property 5'!I168</f>
        <v>0</v>
      </c>
      <c r="J5" s="84">
        <f>-'Data Property 5'!J168</f>
        <v>0</v>
      </c>
      <c r="K5" s="84">
        <f>-'Data Property 5'!K168</f>
        <v>0</v>
      </c>
      <c r="L5" s="84">
        <f>-'Data Property 5'!L168</f>
        <v>0</v>
      </c>
      <c r="M5" s="84">
        <f>-'Data Property 5'!M168</f>
        <v>0</v>
      </c>
      <c r="N5" s="84">
        <f>-'Data Property 5'!N168</f>
        <v>0</v>
      </c>
      <c r="O5" s="84">
        <f>-'Data Property 5'!O168</f>
        <v>0</v>
      </c>
      <c r="P5" s="84">
        <f>-'Data Property 5'!P168</f>
        <v>0</v>
      </c>
      <c r="Q5" s="84">
        <f>-'Data Property 5'!Q168</f>
        <v>0</v>
      </c>
    </row>
    <row r="6" spans="1:17" hidden="1" outlineLevel="1" x14ac:dyDescent="0.2">
      <c r="A6" s="85" t="str">
        <f>'Data Property 5'!$A$169</f>
        <v>Property Management</v>
      </c>
      <c r="B6" s="60"/>
      <c r="C6" s="285">
        <f>-'Data Property 5'!C169</f>
        <v>-420.57142857142856</v>
      </c>
      <c r="D6" s="84">
        <f>-'Data Property 5'!D169</f>
        <v>-957.64114285714288</v>
      </c>
      <c r="E6" s="84">
        <f>-'Data Property 5'!E169</f>
        <v>-988.34279142857133</v>
      </c>
      <c r="F6" s="84">
        <f>-'Data Property 5'!F169</f>
        <v>-1022.9347891285713</v>
      </c>
      <c r="G6" s="84">
        <f>-'Data Property 5'!G169</f>
        <v>-1058.7375067480712</v>
      </c>
      <c r="H6" s="84">
        <f>-'Data Property 5'!H169</f>
        <v>-1098.9152377733826</v>
      </c>
      <c r="I6" s="84">
        <f>-'Data Property 5'!I169</f>
        <v>-1134.1460856662022</v>
      </c>
      <c r="J6" s="84">
        <f>-'Data Property 5'!J169</f>
        <v>-1173.8411986645194</v>
      </c>
      <c r="K6" s="84">
        <f>-'Data Property 5'!K169</f>
        <v>-1214.9256406177776</v>
      </c>
      <c r="L6" s="84">
        <f>-'Data Property 5'!L169</f>
        <v>-1261.0305110822469</v>
      </c>
      <c r="M6" s="84">
        <f>-'Data Property 5'!M169</f>
        <v>-1301.4587193707787</v>
      </c>
      <c r="N6" s="84">
        <f>-'Data Property 5'!N169</f>
        <v>-1347.0097745487558</v>
      </c>
      <c r="O6" s="84">
        <f>-'Data Property 5'!O169</f>
        <v>-1394.1551166579623</v>
      </c>
      <c r="P6" s="84">
        <f>-'Data Property 5'!P169</f>
        <v>-1447.0615159567769</v>
      </c>
      <c r="Q6" s="84">
        <f>-'Data Property 5'!Q169</f>
        <v>-1493.4538148419254</v>
      </c>
    </row>
    <row r="7" spans="1:17" hidden="1" outlineLevel="1" x14ac:dyDescent="0.2">
      <c r="A7" s="85" t="str">
        <f>'Data Property 5'!$A$170</f>
        <v>Letting Fee</v>
      </c>
      <c r="B7" s="60"/>
      <c r="C7" s="285">
        <f>-'Data Property 5'!C170</f>
        <v>-230</v>
      </c>
      <c r="D7" s="84">
        <f>-'Data Property 5'!D170</f>
        <v>-238.04999999999998</v>
      </c>
      <c r="E7" s="84">
        <f>-'Data Property 5'!E170</f>
        <v>-246.38174999999995</v>
      </c>
      <c r="F7" s="84">
        <f>-'Data Property 5'!F170</f>
        <v>-255.00511124999994</v>
      </c>
      <c r="G7" s="84">
        <f>-'Data Property 5'!G170</f>
        <v>-263.93029014374991</v>
      </c>
      <c r="H7" s="84">
        <f>-'Data Property 5'!H170</f>
        <v>-273.16785029878116</v>
      </c>
      <c r="I7" s="84">
        <f>-'Data Property 5'!I170</f>
        <v>-282.72872505923846</v>
      </c>
      <c r="J7" s="84">
        <f>-'Data Property 5'!J170</f>
        <v>-292.62423043631179</v>
      </c>
      <c r="K7" s="84">
        <f>-'Data Property 5'!K170</f>
        <v>-302.86607850158271</v>
      </c>
      <c r="L7" s="84">
        <f>-'Data Property 5'!L170</f>
        <v>-313.4663912491381</v>
      </c>
      <c r="M7" s="84">
        <f>-'Data Property 5'!M170</f>
        <v>-324.43771494285789</v>
      </c>
      <c r="N7" s="84">
        <f>-'Data Property 5'!N170</f>
        <v>-335.79303496585788</v>
      </c>
      <c r="O7" s="84">
        <f>-'Data Property 5'!O170</f>
        <v>-347.54579118966291</v>
      </c>
      <c r="P7" s="84">
        <f>-'Data Property 5'!P170</f>
        <v>-359.70989388130107</v>
      </c>
      <c r="Q7" s="84">
        <f>-'Data Property 5'!Q170</f>
        <v>-372.29974016714658</v>
      </c>
    </row>
    <row r="8" spans="1:17" hidden="1" outlineLevel="1" x14ac:dyDescent="0.2">
      <c r="A8" s="85" t="str">
        <f>'Data Property 5'!$A$171</f>
        <v>Insurance</v>
      </c>
      <c r="B8" s="60"/>
      <c r="C8" s="285">
        <f>-'Data Property 5'!C171</f>
        <v>-572.05479452054794</v>
      </c>
      <c r="D8" s="84">
        <f>-'Data Property 5'!D171</f>
        <v>-1230</v>
      </c>
      <c r="E8" s="84">
        <f>-'Data Property 5'!E171</f>
        <v>-1260.75</v>
      </c>
      <c r="F8" s="84">
        <f>-'Data Property 5'!F171</f>
        <v>-1292.26875</v>
      </c>
      <c r="G8" s="84">
        <f>-'Data Property 5'!G171</f>
        <v>-1324.5754687499998</v>
      </c>
      <c r="H8" s="84">
        <f>-'Data Property 5'!H171</f>
        <v>-1357.6898554687498</v>
      </c>
      <c r="I8" s="84">
        <f>-'Data Property 5'!I171</f>
        <v>-1391.6321018554684</v>
      </c>
      <c r="J8" s="84">
        <f>-'Data Property 5'!J171</f>
        <v>-1426.422904401855</v>
      </c>
      <c r="K8" s="84">
        <f>-'Data Property 5'!K171</f>
        <v>-1462.0834770119013</v>
      </c>
      <c r="L8" s="84">
        <f>-'Data Property 5'!L171</f>
        <v>-1498.6355639371986</v>
      </c>
      <c r="M8" s="84">
        <f>-'Data Property 5'!M171</f>
        <v>-1536.1014530356285</v>
      </c>
      <c r="N8" s="84">
        <f>-'Data Property 5'!N171</f>
        <v>-1574.5039893615192</v>
      </c>
      <c r="O8" s="84">
        <f>-'Data Property 5'!O171</f>
        <v>-1613.8665890955569</v>
      </c>
      <c r="P8" s="84">
        <f>-'Data Property 5'!P171</f>
        <v>-1654.2132538229457</v>
      </c>
      <c r="Q8" s="84">
        <f>-'Data Property 5'!Q171</f>
        <v>-1695.5685851685191</v>
      </c>
    </row>
    <row r="9" spans="1:17" hidden="1" outlineLevel="1" x14ac:dyDescent="0.2">
      <c r="A9" s="85" t="str">
        <f>'Data Property 5'!$A$172</f>
        <v>Maintenance</v>
      </c>
      <c r="B9" s="60"/>
      <c r="C9" s="285">
        <f>-'Data Property 5'!C172</f>
        <v>-476.71232876712327</v>
      </c>
      <c r="D9" s="84">
        <f>-'Data Property 5'!D172</f>
        <v>-1025</v>
      </c>
      <c r="E9" s="84">
        <f>-'Data Property 5'!E172</f>
        <v>-1050.625</v>
      </c>
      <c r="F9" s="84">
        <f>-'Data Property 5'!F172</f>
        <v>-1076.890625</v>
      </c>
      <c r="G9" s="84">
        <f>-'Data Property 5'!G172</f>
        <v>-1103.8128906249999</v>
      </c>
      <c r="H9" s="84">
        <f>-'Data Property 5'!H172</f>
        <v>-1131.4082128906248</v>
      </c>
      <c r="I9" s="84">
        <f>-'Data Property 5'!I172</f>
        <v>-1159.6934182128903</v>
      </c>
      <c r="J9" s="84">
        <f>-'Data Property 5'!J172</f>
        <v>-1188.6857536682123</v>
      </c>
      <c r="K9" s="84">
        <f>-'Data Property 5'!K172</f>
        <v>-1218.4028975099175</v>
      </c>
      <c r="L9" s="84">
        <f>-'Data Property 5'!L172</f>
        <v>-1248.8629699476653</v>
      </c>
      <c r="M9" s="84">
        <f>-'Data Property 5'!M172</f>
        <v>-1280.0845441963568</v>
      </c>
      <c r="N9" s="84">
        <f>-'Data Property 5'!N172</f>
        <v>-1312.0866578012656</v>
      </c>
      <c r="O9" s="84">
        <f>-'Data Property 5'!O172</f>
        <v>-1344.8888242462972</v>
      </c>
      <c r="P9" s="84">
        <f>-'Data Property 5'!P172</f>
        <v>-1378.5110448524545</v>
      </c>
      <c r="Q9" s="84">
        <f>-'Data Property 5'!Q172</f>
        <v>-1412.9738209737657</v>
      </c>
    </row>
    <row r="10" spans="1:17" hidden="1" outlineLevel="1" x14ac:dyDescent="0.2">
      <c r="A10" s="85" t="str">
        <f>'Data Property 5'!$A$173</f>
        <v>Strata</v>
      </c>
      <c r="B10" s="60"/>
      <c r="C10" s="285">
        <f>-'Data Property 5'!C173</f>
        <v>0</v>
      </c>
      <c r="D10" s="84">
        <f>-'Data Property 5'!D173</f>
        <v>0</v>
      </c>
      <c r="E10" s="84">
        <f>-'Data Property 5'!E173</f>
        <v>0</v>
      </c>
      <c r="F10" s="84">
        <f>-'Data Property 5'!F173</f>
        <v>0</v>
      </c>
      <c r="G10" s="84">
        <f>-'Data Property 5'!G173</f>
        <v>0</v>
      </c>
      <c r="H10" s="84">
        <f>-'Data Property 5'!H173</f>
        <v>0</v>
      </c>
      <c r="I10" s="84">
        <f>-'Data Property 5'!I173</f>
        <v>0</v>
      </c>
      <c r="J10" s="84">
        <f>-'Data Property 5'!J173</f>
        <v>0</v>
      </c>
      <c r="K10" s="84">
        <f>-'Data Property 5'!K173</f>
        <v>0</v>
      </c>
      <c r="L10" s="84">
        <f>-'Data Property 5'!L173</f>
        <v>0</v>
      </c>
      <c r="M10" s="84">
        <f>-'Data Property 5'!M173</f>
        <v>0</v>
      </c>
      <c r="N10" s="84">
        <f>-'Data Property 5'!N173</f>
        <v>0</v>
      </c>
      <c r="O10" s="84">
        <f>-'Data Property 5'!O173</f>
        <v>0</v>
      </c>
      <c r="P10" s="84">
        <f>-'Data Property 5'!P173</f>
        <v>0</v>
      </c>
      <c r="Q10" s="84">
        <f>-'Data Property 5'!Q173</f>
        <v>0</v>
      </c>
    </row>
    <row r="11" spans="1:17" hidden="1" outlineLevel="1" x14ac:dyDescent="0.2">
      <c r="A11" s="85" t="str">
        <f>'Data Property 5'!$A$174</f>
        <v>Water Charges</v>
      </c>
      <c r="B11" s="60"/>
      <c r="C11" s="285">
        <f>-'Data Property 5'!C174</f>
        <v>0</v>
      </c>
      <c r="D11" s="84">
        <f>-'Data Property 5'!D174</f>
        <v>0</v>
      </c>
      <c r="E11" s="84">
        <f>-'Data Property 5'!E174</f>
        <v>0</v>
      </c>
      <c r="F11" s="84">
        <f>-'Data Property 5'!F174</f>
        <v>0</v>
      </c>
      <c r="G11" s="84">
        <f>-'Data Property 5'!G174</f>
        <v>0</v>
      </c>
      <c r="H11" s="84">
        <f>-'Data Property 5'!H174</f>
        <v>0</v>
      </c>
      <c r="I11" s="84">
        <f>-'Data Property 5'!I174</f>
        <v>0</v>
      </c>
      <c r="J11" s="84">
        <f>-'Data Property 5'!J174</f>
        <v>0</v>
      </c>
      <c r="K11" s="84">
        <f>-'Data Property 5'!K174</f>
        <v>0</v>
      </c>
      <c r="L11" s="84">
        <f>-'Data Property 5'!L174</f>
        <v>0</v>
      </c>
      <c r="M11" s="84">
        <f>-'Data Property 5'!M174</f>
        <v>0</v>
      </c>
      <c r="N11" s="84">
        <f>-'Data Property 5'!N174</f>
        <v>0</v>
      </c>
      <c r="O11" s="84">
        <f>-'Data Property 5'!O174</f>
        <v>0</v>
      </c>
      <c r="P11" s="84">
        <f>-'Data Property 5'!P174</f>
        <v>0</v>
      </c>
      <c r="Q11" s="84">
        <f>-'Data Property 5'!Q174</f>
        <v>0</v>
      </c>
    </row>
    <row r="12" spans="1:17" hidden="1" outlineLevel="1" x14ac:dyDescent="0.2">
      <c r="A12" s="85" t="str">
        <f>'Data Property 5'!$A$175</f>
        <v>Cleaning</v>
      </c>
      <c r="B12" s="60"/>
      <c r="C12" s="285">
        <f>-'Data Property 5'!C175</f>
        <v>0</v>
      </c>
      <c r="D12" s="84">
        <f>-'Data Property 5'!D175</f>
        <v>0</v>
      </c>
      <c r="E12" s="84">
        <f>-'Data Property 5'!E175</f>
        <v>0</v>
      </c>
      <c r="F12" s="84">
        <f>-'Data Property 5'!F175</f>
        <v>0</v>
      </c>
      <c r="G12" s="84">
        <f>-'Data Property 5'!G175</f>
        <v>0</v>
      </c>
      <c r="H12" s="84">
        <f>-'Data Property 5'!H175</f>
        <v>0</v>
      </c>
      <c r="I12" s="84">
        <f>-'Data Property 5'!I175</f>
        <v>0</v>
      </c>
      <c r="J12" s="84">
        <f>-'Data Property 5'!J175</f>
        <v>0</v>
      </c>
      <c r="K12" s="84">
        <f>-'Data Property 5'!K175</f>
        <v>0</v>
      </c>
      <c r="L12" s="84">
        <f>-'Data Property 5'!L175</f>
        <v>0</v>
      </c>
      <c r="M12" s="84">
        <f>-'Data Property 5'!M175</f>
        <v>0</v>
      </c>
      <c r="N12" s="84">
        <f>-'Data Property 5'!N175</f>
        <v>0</v>
      </c>
      <c r="O12" s="84">
        <f>-'Data Property 5'!O175</f>
        <v>0</v>
      </c>
      <c r="P12" s="84">
        <f>-'Data Property 5'!P175</f>
        <v>0</v>
      </c>
      <c r="Q12" s="84">
        <f>-'Data Property 5'!Q175</f>
        <v>0</v>
      </c>
    </row>
    <row r="13" spans="1:17" hidden="1" outlineLevel="1" x14ac:dyDescent="0.2">
      <c r="A13" s="85" t="str">
        <f>'Data Property 5'!$A$176</f>
        <v>Council Rates</v>
      </c>
      <c r="B13" s="60"/>
      <c r="C13" s="285">
        <f>-'Data Property 5'!C176</f>
        <v>-572.05479452054794</v>
      </c>
      <c r="D13" s="84">
        <f>-'Data Property 5'!D176</f>
        <v>-1230</v>
      </c>
      <c r="E13" s="84">
        <f>-'Data Property 5'!E176</f>
        <v>-1260.75</v>
      </c>
      <c r="F13" s="84">
        <f>-'Data Property 5'!F176</f>
        <v>-1292.26875</v>
      </c>
      <c r="G13" s="84">
        <f>-'Data Property 5'!G176</f>
        <v>-1324.57546875</v>
      </c>
      <c r="H13" s="84">
        <f>-'Data Property 5'!H176</f>
        <v>-1357.68985546875</v>
      </c>
      <c r="I13" s="84">
        <f>-'Data Property 5'!I176</f>
        <v>-1391.6321018554688</v>
      </c>
      <c r="J13" s="84">
        <f>-'Data Property 5'!J176</f>
        <v>-1426.4229044018555</v>
      </c>
      <c r="K13" s="84">
        <f>-'Data Property 5'!K176</f>
        <v>-1462.0834770119018</v>
      </c>
      <c r="L13" s="84">
        <f>-'Data Property 5'!L176</f>
        <v>-1498.6355639371993</v>
      </c>
      <c r="M13" s="84">
        <f>-'Data Property 5'!M176</f>
        <v>-1536.1014530356292</v>
      </c>
      <c r="N13" s="84">
        <f>-'Data Property 5'!N176</f>
        <v>-1574.5039893615199</v>
      </c>
      <c r="O13" s="84">
        <f>-'Data Property 5'!O176</f>
        <v>-1613.8665890955579</v>
      </c>
      <c r="P13" s="84">
        <f>-'Data Property 5'!P176</f>
        <v>-1654.2132538229469</v>
      </c>
      <c r="Q13" s="84">
        <f>-'Data Property 5'!Q176</f>
        <v>-1695.5685851685205</v>
      </c>
    </row>
    <row r="14" spans="1:17" hidden="1" outlineLevel="1" x14ac:dyDescent="0.2">
      <c r="A14" s="85" t="str">
        <f>'Data Property 5'!$A$177</f>
        <v>Gardening / Mowing</v>
      </c>
      <c r="B14" s="60"/>
      <c r="C14" s="285">
        <f>-'Data Property 5'!C177</f>
        <v>0</v>
      </c>
      <c r="D14" s="84">
        <f>-'Data Property 5'!D177</f>
        <v>0</v>
      </c>
      <c r="E14" s="84">
        <f>-'Data Property 5'!E177</f>
        <v>0</v>
      </c>
      <c r="F14" s="84">
        <f>-'Data Property 5'!F177</f>
        <v>0</v>
      </c>
      <c r="G14" s="84">
        <f>-'Data Property 5'!G177</f>
        <v>0</v>
      </c>
      <c r="H14" s="84">
        <f>-'Data Property 5'!H177</f>
        <v>0</v>
      </c>
      <c r="I14" s="84">
        <f>-'Data Property 5'!I177</f>
        <v>0</v>
      </c>
      <c r="J14" s="84">
        <f>-'Data Property 5'!J177</f>
        <v>0</v>
      </c>
      <c r="K14" s="84">
        <f>-'Data Property 5'!K177</f>
        <v>0</v>
      </c>
      <c r="L14" s="84">
        <f>-'Data Property 5'!L177</f>
        <v>0</v>
      </c>
      <c r="M14" s="84">
        <f>-'Data Property 5'!M177</f>
        <v>0</v>
      </c>
      <c r="N14" s="84">
        <f>-'Data Property 5'!N177</f>
        <v>0</v>
      </c>
      <c r="O14" s="84">
        <f>-'Data Property 5'!O177</f>
        <v>0</v>
      </c>
      <c r="P14" s="84">
        <f>-'Data Property 5'!P177</f>
        <v>0</v>
      </c>
      <c r="Q14" s="84">
        <f>-'Data Property 5'!Q177</f>
        <v>0</v>
      </c>
    </row>
    <row r="15" spans="1:17" hidden="1" outlineLevel="1" x14ac:dyDescent="0.2">
      <c r="A15" s="85" t="str">
        <f>'Data Property 5'!$A$178</f>
        <v>Land Tax</v>
      </c>
      <c r="B15" s="60"/>
      <c r="C15" s="285">
        <f>-'Data Property 5'!C178</f>
        <v>0</v>
      </c>
      <c r="D15" s="84">
        <f>-'Data Property 5'!D178</f>
        <v>0</v>
      </c>
      <c r="E15" s="84">
        <f>-'Data Property 5'!E178</f>
        <v>0</v>
      </c>
      <c r="F15" s="84">
        <f>-'Data Property 5'!F178</f>
        <v>0</v>
      </c>
      <c r="G15" s="84">
        <f>-'Data Property 5'!G178</f>
        <v>0</v>
      </c>
      <c r="H15" s="84">
        <f>-'Data Property 5'!H178</f>
        <v>0</v>
      </c>
      <c r="I15" s="84">
        <f>-'Data Property 5'!I178</f>
        <v>0</v>
      </c>
      <c r="J15" s="84">
        <f>-'Data Property 5'!J178</f>
        <v>0</v>
      </c>
      <c r="K15" s="84">
        <f>-'Data Property 5'!K178</f>
        <v>0</v>
      </c>
      <c r="L15" s="84">
        <f>-'Data Property 5'!L178</f>
        <v>0</v>
      </c>
      <c r="M15" s="84">
        <f>-'Data Property 5'!M178</f>
        <v>0</v>
      </c>
      <c r="N15" s="84">
        <f>-'Data Property 5'!N178</f>
        <v>0</v>
      </c>
      <c r="O15" s="84">
        <f>-'Data Property 5'!O178</f>
        <v>0</v>
      </c>
      <c r="P15" s="84">
        <f>-'Data Property 5'!P178</f>
        <v>0</v>
      </c>
      <c r="Q15" s="84">
        <f>-'Data Property 5'!Q178</f>
        <v>0</v>
      </c>
    </row>
    <row r="16" spans="1:17" hidden="1" outlineLevel="1" x14ac:dyDescent="0.2">
      <c r="A16" s="85" t="str">
        <f>'Data Property 5'!$A$179</f>
        <v>Legal Expenses</v>
      </c>
      <c r="B16" s="60"/>
      <c r="C16" s="285">
        <f>-'Data Property 5'!C179</f>
        <v>0</v>
      </c>
      <c r="D16" s="84">
        <f>-'Data Property 5'!D179</f>
        <v>0</v>
      </c>
      <c r="E16" s="84">
        <f>-'Data Property 5'!E179</f>
        <v>0</v>
      </c>
      <c r="F16" s="84">
        <f>-'Data Property 5'!F179</f>
        <v>0</v>
      </c>
      <c r="G16" s="84">
        <f>-'Data Property 5'!G179</f>
        <v>0</v>
      </c>
      <c r="H16" s="84">
        <f>-'Data Property 5'!H179</f>
        <v>0</v>
      </c>
      <c r="I16" s="84">
        <f>-'Data Property 5'!I179</f>
        <v>0</v>
      </c>
      <c r="J16" s="84">
        <f>-'Data Property 5'!J179</f>
        <v>0</v>
      </c>
      <c r="K16" s="84">
        <f>-'Data Property 5'!K179</f>
        <v>0</v>
      </c>
      <c r="L16" s="84">
        <f>-'Data Property 5'!L179</f>
        <v>0</v>
      </c>
      <c r="M16" s="84">
        <f>-'Data Property 5'!M179</f>
        <v>0</v>
      </c>
      <c r="N16" s="84">
        <f>-'Data Property 5'!N179</f>
        <v>0</v>
      </c>
      <c r="O16" s="84">
        <f>-'Data Property 5'!O179</f>
        <v>0</v>
      </c>
      <c r="P16" s="84">
        <f>-'Data Property 5'!P179</f>
        <v>0</v>
      </c>
      <c r="Q16" s="84">
        <f>-'Data Property 5'!Q179</f>
        <v>0</v>
      </c>
    </row>
    <row r="17" spans="1:17" hidden="1" outlineLevel="1" x14ac:dyDescent="0.2">
      <c r="A17" s="85" t="str">
        <f>'Data Property 5'!$A$180</f>
        <v>Pest Control</v>
      </c>
      <c r="B17" s="60"/>
      <c r="C17" s="285">
        <f>-'Data Property 5'!C180</f>
        <v>0</v>
      </c>
      <c r="D17" s="84">
        <f>-'Data Property 5'!D180</f>
        <v>0</v>
      </c>
      <c r="E17" s="84">
        <f>-'Data Property 5'!E180</f>
        <v>0</v>
      </c>
      <c r="F17" s="84">
        <f>-'Data Property 5'!F180</f>
        <v>0</v>
      </c>
      <c r="G17" s="84">
        <f>-'Data Property 5'!G180</f>
        <v>0</v>
      </c>
      <c r="H17" s="84">
        <f>-'Data Property 5'!H180</f>
        <v>0</v>
      </c>
      <c r="I17" s="84">
        <f>-'Data Property 5'!I180</f>
        <v>0</v>
      </c>
      <c r="J17" s="84">
        <f>-'Data Property 5'!J180</f>
        <v>0</v>
      </c>
      <c r="K17" s="84">
        <f>-'Data Property 5'!K180</f>
        <v>0</v>
      </c>
      <c r="L17" s="84">
        <f>-'Data Property 5'!L180</f>
        <v>0</v>
      </c>
      <c r="M17" s="84">
        <f>-'Data Property 5'!M180</f>
        <v>0</v>
      </c>
      <c r="N17" s="84">
        <f>-'Data Property 5'!N180</f>
        <v>0</v>
      </c>
      <c r="O17" s="84">
        <f>-'Data Property 5'!O180</f>
        <v>0</v>
      </c>
      <c r="P17" s="84">
        <f>-'Data Property 5'!P180</f>
        <v>0</v>
      </c>
      <c r="Q17" s="84">
        <f>-'Data Property 5'!Q180</f>
        <v>0</v>
      </c>
    </row>
    <row r="18" spans="1:17" hidden="1" outlineLevel="1" x14ac:dyDescent="0.2">
      <c r="A18" s="85" t="str">
        <f>'Data Property 5'!$A$181</f>
        <v>Bookkeeping</v>
      </c>
      <c r="B18" s="60"/>
      <c r="C18" s="285">
        <f>-'Data Property 5'!C181</f>
        <v>0</v>
      </c>
      <c r="D18" s="84">
        <f>-'Data Property 5'!D181</f>
        <v>0</v>
      </c>
      <c r="E18" s="84">
        <f>-'Data Property 5'!E181</f>
        <v>0</v>
      </c>
      <c r="F18" s="84">
        <f>-'Data Property 5'!F181</f>
        <v>0</v>
      </c>
      <c r="G18" s="84">
        <f>-'Data Property 5'!G181</f>
        <v>0</v>
      </c>
      <c r="H18" s="84">
        <f>-'Data Property 5'!H181</f>
        <v>0</v>
      </c>
      <c r="I18" s="84">
        <f>-'Data Property 5'!I181</f>
        <v>0</v>
      </c>
      <c r="J18" s="84">
        <f>-'Data Property 5'!J181</f>
        <v>0</v>
      </c>
      <c r="K18" s="84">
        <f>-'Data Property 5'!K181</f>
        <v>0</v>
      </c>
      <c r="L18" s="84">
        <f>-'Data Property 5'!L181</f>
        <v>0</v>
      </c>
      <c r="M18" s="84">
        <f>-'Data Property 5'!M181</f>
        <v>0</v>
      </c>
      <c r="N18" s="84">
        <f>-'Data Property 5'!N181</f>
        <v>0</v>
      </c>
      <c r="O18" s="84">
        <f>-'Data Property 5'!O181</f>
        <v>0</v>
      </c>
      <c r="P18" s="84">
        <f>-'Data Property 5'!P181</f>
        <v>0</v>
      </c>
      <c r="Q18" s="84">
        <f>-'Data Property 5'!Q181</f>
        <v>0</v>
      </c>
    </row>
    <row r="19" spans="1:17" hidden="1" outlineLevel="1" x14ac:dyDescent="0.2">
      <c r="A19" s="85" t="str">
        <f>'Data Property 5'!$A$182</f>
        <v>Postage and Stationery</v>
      </c>
      <c r="B19" s="60"/>
      <c r="C19" s="285">
        <f>-'Data Property 5'!C182</f>
        <v>0</v>
      </c>
      <c r="D19" s="84">
        <f>-'Data Property 5'!D182</f>
        <v>0</v>
      </c>
      <c r="E19" s="84">
        <f>-'Data Property 5'!E182</f>
        <v>0</v>
      </c>
      <c r="F19" s="84">
        <f>-'Data Property 5'!F182</f>
        <v>0</v>
      </c>
      <c r="G19" s="84">
        <f>-'Data Property 5'!G182</f>
        <v>0</v>
      </c>
      <c r="H19" s="84">
        <f>-'Data Property 5'!H182</f>
        <v>0</v>
      </c>
      <c r="I19" s="84">
        <f>-'Data Property 5'!I182</f>
        <v>0</v>
      </c>
      <c r="J19" s="84">
        <f>-'Data Property 5'!J182</f>
        <v>0</v>
      </c>
      <c r="K19" s="84">
        <f>-'Data Property 5'!K182</f>
        <v>0</v>
      </c>
      <c r="L19" s="84">
        <f>-'Data Property 5'!L182</f>
        <v>0</v>
      </c>
      <c r="M19" s="84">
        <f>-'Data Property 5'!M182</f>
        <v>0</v>
      </c>
      <c r="N19" s="84">
        <f>-'Data Property 5'!N182</f>
        <v>0</v>
      </c>
      <c r="O19" s="84">
        <f>-'Data Property 5'!O182</f>
        <v>0</v>
      </c>
      <c r="P19" s="84">
        <f>-'Data Property 5'!P182</f>
        <v>0</v>
      </c>
      <c r="Q19" s="84">
        <f>-'Data Property 5'!Q182</f>
        <v>0</v>
      </c>
    </row>
    <row r="20" spans="1:17" hidden="1" outlineLevel="1" x14ac:dyDescent="0.2">
      <c r="A20" s="85" t="str">
        <f>'Data Property 5'!$A$183</f>
        <v>Tax Related Expenses</v>
      </c>
      <c r="B20" s="60"/>
      <c r="C20" s="285">
        <f>-'Data Property 5'!C183</f>
        <v>-273.99041095890408</v>
      </c>
      <c r="D20" s="84">
        <f>-'Data Property 5'!D183</f>
        <v>-589.11874999999998</v>
      </c>
      <c r="E20" s="84">
        <f>-'Data Property 5'!E183</f>
        <v>-603.84671874999992</v>
      </c>
      <c r="F20" s="84">
        <f>-'Data Property 5'!F183</f>
        <v>-618.94288671874995</v>
      </c>
      <c r="G20" s="84">
        <f>-'Data Property 5'!G183</f>
        <v>-634.41645888671871</v>
      </c>
      <c r="H20" s="84">
        <f>-'Data Property 5'!H183</f>
        <v>-650.27687035888664</v>
      </c>
      <c r="I20" s="84">
        <f>-'Data Property 5'!I183</f>
        <v>-666.53379211785875</v>
      </c>
      <c r="J20" s="84">
        <f>-'Data Property 5'!J183</f>
        <v>-683.19713692080518</v>
      </c>
      <c r="K20" s="84">
        <f>-'Data Property 5'!K183</f>
        <v>-700.27706534382526</v>
      </c>
      <c r="L20" s="84">
        <f>-'Data Property 5'!L183</f>
        <v>-717.7839919774209</v>
      </c>
      <c r="M20" s="84">
        <f>-'Data Property 5'!M183</f>
        <v>-735.72859177685643</v>
      </c>
      <c r="N20" s="84">
        <f>-'Data Property 5'!N183</f>
        <v>-754.12180657127783</v>
      </c>
      <c r="O20" s="84">
        <f>-'Data Property 5'!O183</f>
        <v>-772.97485173555981</v>
      </c>
      <c r="P20" s="84">
        <f>-'Data Property 5'!P183</f>
        <v>-792.29922302894886</v>
      </c>
      <c r="Q20" s="84">
        <f>-'Data Property 5'!Q183</f>
        <v>-812.10670360467259</v>
      </c>
    </row>
    <row r="21" spans="1:17" hidden="1" outlineLevel="1" x14ac:dyDescent="0.2">
      <c r="A21" s="85" t="str">
        <f>'Data Property 5'!$A$184</f>
        <v>Travel and Car Expenses</v>
      </c>
      <c r="B21" s="60"/>
      <c r="C21" s="285">
        <f>-'Data Property 5'!C184</f>
        <v>0</v>
      </c>
      <c r="D21" s="84">
        <f>-'Data Property 5'!D184</f>
        <v>0</v>
      </c>
      <c r="E21" s="84">
        <f>-'Data Property 5'!E184</f>
        <v>0</v>
      </c>
      <c r="F21" s="84">
        <f>-'Data Property 5'!F184</f>
        <v>0</v>
      </c>
      <c r="G21" s="84">
        <f>-'Data Property 5'!G184</f>
        <v>0</v>
      </c>
      <c r="H21" s="84">
        <f>-'Data Property 5'!H184</f>
        <v>0</v>
      </c>
      <c r="I21" s="84">
        <f>-'Data Property 5'!I184</f>
        <v>0</v>
      </c>
      <c r="J21" s="84">
        <f>-'Data Property 5'!J184</f>
        <v>0</v>
      </c>
      <c r="K21" s="84">
        <f>-'Data Property 5'!K184</f>
        <v>0</v>
      </c>
      <c r="L21" s="84">
        <f>-'Data Property 5'!L184</f>
        <v>0</v>
      </c>
      <c r="M21" s="84">
        <f>-'Data Property 5'!M184</f>
        <v>0</v>
      </c>
      <c r="N21" s="84">
        <f>-'Data Property 5'!N184</f>
        <v>0</v>
      </c>
      <c r="O21" s="84">
        <f>-'Data Property 5'!O184</f>
        <v>0</v>
      </c>
      <c r="P21" s="84">
        <f>-'Data Property 5'!P184</f>
        <v>0</v>
      </c>
      <c r="Q21" s="84">
        <f>-'Data Property 5'!Q184</f>
        <v>0</v>
      </c>
    </row>
    <row r="22" spans="1:17" hidden="1" outlineLevel="1" x14ac:dyDescent="0.2">
      <c r="A22" s="85" t="str">
        <f>'Data Property 5'!$A$185</f>
        <v>Once Off Expenses</v>
      </c>
      <c r="B22" s="60"/>
      <c r="C22" s="285">
        <f>-'Data Property 5'!C185</f>
        <v>-50</v>
      </c>
      <c r="D22" s="84">
        <f>-'Data Property 5'!D185</f>
        <v>0</v>
      </c>
      <c r="E22" s="84">
        <f>-'Data Property 5'!E185</f>
        <v>0</v>
      </c>
      <c r="F22" s="84">
        <f>-'Data Property 5'!F185</f>
        <v>0</v>
      </c>
      <c r="G22" s="84">
        <f>-'Data Property 5'!G185</f>
        <v>0</v>
      </c>
      <c r="H22" s="84">
        <f>-'Data Property 5'!H185</f>
        <v>0</v>
      </c>
      <c r="I22" s="84">
        <f>-'Data Property 5'!I185</f>
        <v>0</v>
      </c>
      <c r="J22" s="84">
        <f>-'Data Property 5'!J185</f>
        <v>0</v>
      </c>
      <c r="K22" s="84">
        <f>-'Data Property 5'!K185</f>
        <v>0</v>
      </c>
      <c r="L22" s="84">
        <f>-'Data Property 5'!L185</f>
        <v>0</v>
      </c>
      <c r="M22" s="84">
        <f>-'Data Property 5'!M185</f>
        <v>0</v>
      </c>
      <c r="N22" s="84">
        <f>-'Data Property 5'!N185</f>
        <v>0</v>
      </c>
      <c r="O22" s="84">
        <f>-'Data Property 5'!O185</f>
        <v>0</v>
      </c>
      <c r="P22" s="84">
        <f>-'Data Property 5'!P185</f>
        <v>0</v>
      </c>
      <c r="Q22" s="84">
        <f>-'Data Property 5'!Q185</f>
        <v>0</v>
      </c>
    </row>
    <row r="23" spans="1:17" collapsed="1" x14ac:dyDescent="0.2">
      <c r="A23" s="85" t="str">
        <f>'Data Property 5'!$A$186</f>
        <v>Total Property Expenses</v>
      </c>
      <c r="B23" s="60"/>
      <c r="C23" s="285">
        <f>-'Data Property 5'!C186</f>
        <v>-2595.3837573385522</v>
      </c>
      <c r="D23" s="84">
        <f>-'Data Property 5'!D186</f>
        <v>-5269.8098928571426</v>
      </c>
      <c r="E23" s="84">
        <f>-'Data Property 5'!E186</f>
        <v>-5410.6962601785717</v>
      </c>
      <c r="F23" s="84">
        <f>-'Data Property 5'!F186</f>
        <v>-5558.3109120973213</v>
      </c>
      <c r="G23" s="84">
        <f>-'Data Property 5'!G186</f>
        <v>-5710.0480839035399</v>
      </c>
      <c r="H23" s="84">
        <f>-'Data Property 5'!H186</f>
        <v>-5869.1478822591744</v>
      </c>
      <c r="I23" s="84">
        <f>-'Data Property 5'!I186</f>
        <v>-6026.3662247671273</v>
      </c>
      <c r="J23" s="84">
        <f>-'Data Property 5'!J186</f>
        <v>-6191.1941284935592</v>
      </c>
      <c r="K23" s="84">
        <f>-'Data Property 5'!K186</f>
        <v>-6360.6386359969065</v>
      </c>
      <c r="L23" s="84">
        <f>-'Data Property 5'!L186</f>
        <v>-6538.414992130869</v>
      </c>
      <c r="M23" s="84">
        <f>-'Data Property 5'!M186</f>
        <v>-6713.9124763581076</v>
      </c>
      <c r="N23" s="84">
        <f>-'Data Property 5'!N186</f>
        <v>-6898.0192526101964</v>
      </c>
      <c r="O23" s="84">
        <f>-'Data Property 5'!O186</f>
        <v>-7087.2977620205975</v>
      </c>
      <c r="P23" s="84">
        <f>-'Data Property 5'!P186</f>
        <v>-7286.0081853653746</v>
      </c>
      <c r="Q23" s="84">
        <f>-'Data Property 5'!Q186</f>
        <v>-7481.9712499245488</v>
      </c>
    </row>
    <row r="24" spans="1:17" x14ac:dyDescent="0.2">
      <c r="A24" s="119"/>
      <c r="B24" s="82"/>
      <c r="C24" s="286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</row>
    <row r="25" spans="1:17" x14ac:dyDescent="0.2">
      <c r="A25" s="88" t="str">
        <f>'Data Property 5'!$A$187</f>
        <v>Total Costs</v>
      </c>
      <c r="B25" s="190"/>
      <c r="C25" s="287">
        <f>-'Data Property 5'!C187</f>
        <v>-6146.4138943248536</v>
      </c>
      <c r="D25" s="89">
        <f>-'Data Property 5'!D187</f>
        <v>-12739.218112035225</v>
      </c>
      <c r="E25" s="89">
        <f>-'Data Property 5'!E187</f>
        <v>-12859.696260178571</v>
      </c>
      <c r="F25" s="89">
        <f>-'Data Property 5'!F187</f>
        <v>-13007.31091209732</v>
      </c>
      <c r="G25" s="89">
        <f>-'Data Property 5'!G187</f>
        <v>-13159.048083903541</v>
      </c>
      <c r="H25" s="89">
        <f>-'Data Property 5'!H187</f>
        <v>-13338.556101437258</v>
      </c>
      <c r="I25" s="89">
        <f>-'Data Property 5'!I187</f>
        <v>-13475.366224767127</v>
      </c>
      <c r="J25" s="89">
        <f>-'Data Property 5'!J187</f>
        <v>-13640.19412849356</v>
      </c>
      <c r="K25" s="89">
        <f>-'Data Property 5'!K187</f>
        <v>-13809.638635996907</v>
      </c>
      <c r="L25" s="89">
        <f>-'Data Property 5'!L187</f>
        <v>-14007.823211308951</v>
      </c>
      <c r="M25" s="89">
        <f>-'Data Property 5'!M187</f>
        <v>-14162.912476358108</v>
      </c>
      <c r="N25" s="89">
        <f>-'Data Property 5'!N187</f>
        <v>-14347.019252610196</v>
      </c>
      <c r="O25" s="89">
        <f>-'Data Property 5'!O187</f>
        <v>-14536.297762020597</v>
      </c>
      <c r="P25" s="89">
        <f>-'Data Property 5'!P187</f>
        <v>-14755.416404543457</v>
      </c>
      <c r="Q25" s="89">
        <f>-'Data Property 5'!Q187</f>
        <v>-14930.971249924549</v>
      </c>
    </row>
    <row r="26" spans="1:17" x14ac:dyDescent="0.2">
      <c r="A26" s="82"/>
      <c r="B26" s="82"/>
      <c r="C26" s="288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17" x14ac:dyDescent="0.2">
      <c r="A27" s="73" t="s">
        <v>121</v>
      </c>
      <c r="B27" s="342"/>
      <c r="C27" s="28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1:17" hidden="1" outlineLevel="1" x14ac:dyDescent="0.2">
      <c r="A28" s="83" t="s">
        <v>43</v>
      </c>
      <c r="B28" s="60"/>
      <c r="C28" s="285">
        <f>-'Data Property 5'!C196</f>
        <v>-362</v>
      </c>
      <c r="D28" s="84">
        <f>-'Data Property 5'!D196</f>
        <v>-362</v>
      </c>
      <c r="E28" s="84">
        <f>-'Data Property 5'!E196</f>
        <v>-362</v>
      </c>
      <c r="F28" s="84">
        <f>-'Data Property 5'!F196</f>
        <v>-362</v>
      </c>
      <c r="G28" s="84">
        <f>-'Data Property 5'!G196</f>
        <v>-362</v>
      </c>
      <c r="H28" s="84">
        <f>-'Data Property 5'!H196</f>
        <v>0</v>
      </c>
      <c r="I28" s="84">
        <f>-'Data Property 5'!I196</f>
        <v>0</v>
      </c>
      <c r="J28" s="84">
        <f>-'Data Property 5'!J196</f>
        <v>0</v>
      </c>
      <c r="K28" s="84">
        <f>-'Data Property 5'!K196</f>
        <v>0</v>
      </c>
      <c r="L28" s="84">
        <f>-'Data Property 5'!L196</f>
        <v>0</v>
      </c>
      <c r="M28" s="84">
        <f>-'Data Property 5'!M196</f>
        <v>0</v>
      </c>
      <c r="N28" s="84">
        <f>-'Data Property 5'!N196</f>
        <v>0</v>
      </c>
      <c r="O28" s="84">
        <f>-'Data Property 5'!O196</f>
        <v>0</v>
      </c>
      <c r="P28" s="84">
        <f>-'Data Property 5'!P196</f>
        <v>0</v>
      </c>
      <c r="Q28" s="84">
        <f>-'Data Property 5'!Q196</f>
        <v>0</v>
      </c>
    </row>
    <row r="29" spans="1:17" hidden="1" outlineLevel="1" x14ac:dyDescent="0.2">
      <c r="A29" s="85" t="str">
        <f>'Data Property 5'!$A$197</f>
        <v>Depreciation - Buildings</v>
      </c>
      <c r="C29" s="290">
        <f>-'Data Property 5'!C197</f>
        <v>0</v>
      </c>
      <c r="D29" s="86">
        <f>-'Data Property 5'!D197</f>
        <v>0</v>
      </c>
      <c r="E29" s="86">
        <f>-'Data Property 5'!E197</f>
        <v>0</v>
      </c>
      <c r="F29" s="86">
        <f>-'Data Property 5'!F197</f>
        <v>0</v>
      </c>
      <c r="G29" s="86">
        <f>-'Data Property 5'!G197</f>
        <v>0</v>
      </c>
      <c r="H29" s="86">
        <f>-'Data Property 5'!H197</f>
        <v>0</v>
      </c>
      <c r="I29" s="86">
        <f>-'Data Property 5'!I197</f>
        <v>0</v>
      </c>
      <c r="J29" s="86">
        <f>-'Data Property 5'!J197</f>
        <v>0</v>
      </c>
      <c r="K29" s="86">
        <f>-'Data Property 5'!K197</f>
        <v>0</v>
      </c>
      <c r="L29" s="86">
        <f>-'Data Property 5'!L197</f>
        <v>0</v>
      </c>
      <c r="M29" s="86">
        <f>-'Data Property 5'!M197</f>
        <v>0</v>
      </c>
      <c r="N29" s="86">
        <f>-'Data Property 5'!N197</f>
        <v>0</v>
      </c>
      <c r="O29" s="86">
        <f>-'Data Property 5'!O197</f>
        <v>0</v>
      </c>
      <c r="P29" s="86">
        <f>-'Data Property 5'!P197</f>
        <v>0</v>
      </c>
      <c r="Q29" s="86">
        <f>-'Data Property 5'!Q197</f>
        <v>0</v>
      </c>
    </row>
    <row r="30" spans="1:17" hidden="1" outlineLevel="1" x14ac:dyDescent="0.2">
      <c r="A30" s="85" t="str">
        <f>'Data Property 5'!$A$198</f>
        <v xml:space="preserve">Depreciation - Fittings Diminishing Value </v>
      </c>
      <c r="B30" s="76"/>
      <c r="C30" s="291">
        <f>-'Data Property 5'!C198</f>
        <v>-1500</v>
      </c>
      <c r="D30" s="90">
        <f>-'Data Property 5'!D198</f>
        <v>-1050</v>
      </c>
      <c r="E30" s="90">
        <f>-'Data Property 5'!E198</f>
        <v>-735</v>
      </c>
      <c r="F30" s="90">
        <f>-'Data Property 5'!F198</f>
        <v>-514.5</v>
      </c>
      <c r="G30" s="90">
        <f>-'Data Property 5'!G198</f>
        <v>-360.15</v>
      </c>
      <c r="H30" s="90">
        <f>-'Data Property 5'!H198</f>
        <v>-252.10499999999999</v>
      </c>
      <c r="I30" s="90">
        <f>-'Data Property 5'!I198</f>
        <v>-176.4735</v>
      </c>
      <c r="J30" s="90">
        <f>-'Data Property 5'!J198</f>
        <v>-123.53144999999999</v>
      </c>
      <c r="K30" s="90">
        <f>-'Data Property 5'!K198</f>
        <v>-86.472014999999999</v>
      </c>
      <c r="L30" s="90">
        <f>-'Data Property 5'!L198</f>
        <v>-60.530410499999995</v>
      </c>
      <c r="M30" s="90">
        <f>-'Data Property 5'!M198</f>
        <v>-42.371287350000003</v>
      </c>
      <c r="N30" s="90">
        <f>-'Data Property 5'!N198</f>
        <v>-29.659901144999999</v>
      </c>
      <c r="O30" s="90">
        <f>-'Data Property 5'!O198</f>
        <v>-20.7619308015</v>
      </c>
      <c r="P30" s="90">
        <f>-'Data Property 5'!P198</f>
        <v>-14.533351561049999</v>
      </c>
      <c r="Q30" s="90">
        <f>-'Data Property 5'!Q198</f>
        <v>-10.173346092735001</v>
      </c>
    </row>
    <row r="31" spans="1:17" collapsed="1" x14ac:dyDescent="0.2">
      <c r="A31" s="88" t="str">
        <f>'Data Property 5'!$A$200</f>
        <v>Total Non-cash Deductions</v>
      </c>
      <c r="B31" s="190"/>
      <c r="C31" s="287">
        <f t="shared" ref="C31:Q31" si="0">SUM(C28:C30)</f>
        <v>-1862</v>
      </c>
      <c r="D31" s="89">
        <f t="shared" si="0"/>
        <v>-1412</v>
      </c>
      <c r="E31" s="89">
        <f t="shared" si="0"/>
        <v>-1097</v>
      </c>
      <c r="F31" s="89">
        <f t="shared" si="0"/>
        <v>-876.5</v>
      </c>
      <c r="G31" s="89">
        <f t="shared" si="0"/>
        <v>-722.15</v>
      </c>
      <c r="H31" s="89">
        <f t="shared" si="0"/>
        <v>-252.10499999999999</v>
      </c>
      <c r="I31" s="89">
        <f t="shared" si="0"/>
        <v>-176.4735</v>
      </c>
      <c r="J31" s="89">
        <f t="shared" si="0"/>
        <v>-123.53144999999999</v>
      </c>
      <c r="K31" s="89">
        <f t="shared" si="0"/>
        <v>-86.472014999999999</v>
      </c>
      <c r="L31" s="89">
        <f t="shared" si="0"/>
        <v>-60.530410499999995</v>
      </c>
      <c r="M31" s="89">
        <f t="shared" si="0"/>
        <v>-42.371287350000003</v>
      </c>
      <c r="N31" s="89">
        <f t="shared" si="0"/>
        <v>-29.659901144999999</v>
      </c>
      <c r="O31" s="89">
        <f t="shared" si="0"/>
        <v>-20.7619308015</v>
      </c>
      <c r="P31" s="89">
        <f t="shared" si="0"/>
        <v>-14.533351561049999</v>
      </c>
      <c r="Q31" s="89">
        <f t="shared" si="0"/>
        <v>-10.173346092735001</v>
      </c>
    </row>
    <row r="32" spans="1:17" x14ac:dyDescent="0.2">
      <c r="A32" s="60"/>
      <c r="B32" s="60"/>
      <c r="C32" s="292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</row>
    <row r="33" spans="1:17" x14ac:dyDescent="0.2">
      <c r="A33" s="73" t="s">
        <v>122</v>
      </c>
      <c r="B33" s="342"/>
      <c r="C33" s="28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1:17" hidden="1" outlineLevel="1" x14ac:dyDescent="0.2">
      <c r="A34" s="91" t="str">
        <f>'Data Property 5'!$A$163</f>
        <v>Rent Per Week</v>
      </c>
      <c r="B34" s="343"/>
      <c r="C34" s="293">
        <f>'Data Property 5'!C163</f>
        <v>230</v>
      </c>
      <c r="D34" s="92">
        <f>'Data Property 5'!D163</f>
        <v>238.04999999999998</v>
      </c>
      <c r="E34" s="92">
        <f>'Data Property 5'!E163</f>
        <v>246.38174999999995</v>
      </c>
      <c r="F34" s="92">
        <f>'Data Property 5'!F163</f>
        <v>255.00511124999994</v>
      </c>
      <c r="G34" s="92">
        <f>'Data Property 5'!G163</f>
        <v>263.93029014374991</v>
      </c>
      <c r="H34" s="92">
        <f>'Data Property 5'!H163</f>
        <v>273.16785029878116</v>
      </c>
      <c r="I34" s="92">
        <f>'Data Property 5'!I163</f>
        <v>282.72872505923846</v>
      </c>
      <c r="J34" s="92">
        <f>'Data Property 5'!J163</f>
        <v>292.62423043631179</v>
      </c>
      <c r="K34" s="92">
        <f>'Data Property 5'!K163</f>
        <v>302.86607850158271</v>
      </c>
      <c r="L34" s="92">
        <f>'Data Property 5'!L163</f>
        <v>313.4663912491381</v>
      </c>
      <c r="M34" s="92">
        <f>'Data Property 5'!M163</f>
        <v>324.43771494285789</v>
      </c>
      <c r="N34" s="92">
        <f>'Data Property 5'!N163</f>
        <v>335.79303496585788</v>
      </c>
      <c r="O34" s="92">
        <f>'Data Property 5'!O163</f>
        <v>347.54579118966291</v>
      </c>
      <c r="P34" s="92">
        <f>'Data Property 5'!P163</f>
        <v>359.70989388130107</v>
      </c>
      <c r="Q34" s="92">
        <f>'Data Property 5'!Q163</f>
        <v>372.29974016714658</v>
      </c>
    </row>
    <row r="35" spans="1:17" hidden="1" outlineLevel="1" x14ac:dyDescent="0.2">
      <c r="A35" s="93" t="str">
        <f>'Data Property 5'!$A$164</f>
        <v>Weeks</v>
      </c>
      <c r="B35" s="344"/>
      <c r="C35" s="294">
        <f>'Input Property 5'!$B$7</f>
        <v>50</v>
      </c>
      <c r="D35" s="250">
        <f>'Input Property 5'!$B$7</f>
        <v>50</v>
      </c>
      <c r="E35" s="250">
        <f>'Input Property 5'!$B$7</f>
        <v>50</v>
      </c>
      <c r="F35" s="250">
        <f>'Input Property 5'!$B$7</f>
        <v>50</v>
      </c>
      <c r="G35" s="250">
        <f>'Input Property 5'!$B$7</f>
        <v>50</v>
      </c>
      <c r="H35" s="250">
        <f>'Input Property 5'!$B$7</f>
        <v>50</v>
      </c>
      <c r="I35" s="250">
        <f>'Input Property 5'!$B$7</f>
        <v>50</v>
      </c>
      <c r="J35" s="250">
        <f>'Input Property 5'!$B$7</f>
        <v>50</v>
      </c>
      <c r="K35" s="250">
        <f>'Input Property 5'!$B$7</f>
        <v>50</v>
      </c>
      <c r="L35" s="250">
        <f>'Input Property 5'!$B$7</f>
        <v>50</v>
      </c>
      <c r="M35" s="250">
        <f>'Input Property 5'!$B$7</f>
        <v>50</v>
      </c>
      <c r="N35" s="250">
        <f>'Input Property 5'!$B$7</f>
        <v>50</v>
      </c>
      <c r="O35" s="250">
        <f>'Input Property 5'!$B$7</f>
        <v>50</v>
      </c>
      <c r="P35" s="250">
        <f>'Input Property 5'!$B$7</f>
        <v>50</v>
      </c>
      <c r="Q35" s="250">
        <f>'Input Property 5'!$B$7</f>
        <v>50</v>
      </c>
    </row>
    <row r="36" spans="1:17" collapsed="1" x14ac:dyDescent="0.2">
      <c r="A36" s="94" t="str">
        <f>'Data Property 5'!$A$165</f>
        <v>Total Rent</v>
      </c>
      <c r="B36" s="345"/>
      <c r="C36" s="295">
        <f>'Data Property 5'!C165</f>
        <v>5257.1428571428569</v>
      </c>
      <c r="D36" s="95">
        <f>'Data Property 5'!D165</f>
        <v>11970.514285714286</v>
      </c>
      <c r="E36" s="95">
        <f>'Data Property 5'!E165</f>
        <v>12354.284892857142</v>
      </c>
      <c r="F36" s="95">
        <f>'Data Property 5'!F165</f>
        <v>12786.684864107141</v>
      </c>
      <c r="G36" s="95">
        <f>'Data Property 5'!G165</f>
        <v>13234.21883435089</v>
      </c>
      <c r="H36" s="95">
        <f>'Data Property 5'!H165</f>
        <v>13736.440472167282</v>
      </c>
      <c r="I36" s="95">
        <f>'Data Property 5'!I165</f>
        <v>14176.826070827528</v>
      </c>
      <c r="J36" s="95">
        <f>'Data Property 5'!J165</f>
        <v>14673.014983306492</v>
      </c>
      <c r="K36" s="95">
        <f>'Data Property 5'!K165</f>
        <v>15186.570507722219</v>
      </c>
      <c r="L36" s="95">
        <f>'Data Property 5'!L165</f>
        <v>15762.881388528087</v>
      </c>
      <c r="M36" s="95">
        <f>'Data Property 5'!M165</f>
        <v>16268.233992134732</v>
      </c>
      <c r="N36" s="95">
        <f>'Data Property 5'!N165</f>
        <v>16837.622181859446</v>
      </c>
      <c r="O36" s="95">
        <f>'Data Property 5'!O165</f>
        <v>17426.938958224528</v>
      </c>
      <c r="P36" s="95">
        <f>'Data Property 5'!P165</f>
        <v>18088.268949459711</v>
      </c>
      <c r="Q36" s="95">
        <f>'Data Property 5'!Q165</f>
        <v>18668.172685524067</v>
      </c>
    </row>
    <row r="37" spans="1:17" x14ac:dyDescent="0.2">
      <c r="A37" s="60"/>
      <c r="B37" s="60"/>
      <c r="C37" s="198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x14ac:dyDescent="0.2">
      <c r="A38" s="73" t="s">
        <v>124</v>
      </c>
      <c r="B38" s="342"/>
      <c r="C38" s="289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1:17" hidden="1" outlineLevel="1" x14ac:dyDescent="0.2">
      <c r="A39" s="96" t="s">
        <v>125</v>
      </c>
      <c r="B39" s="346"/>
      <c r="C39" s="296">
        <f t="shared" ref="C39:Q39" si="1">C25</f>
        <v>-6146.4138943248536</v>
      </c>
      <c r="D39" s="97">
        <f t="shared" si="1"/>
        <v>-12739.218112035225</v>
      </c>
      <c r="E39" s="97">
        <f t="shared" si="1"/>
        <v>-12859.696260178571</v>
      </c>
      <c r="F39" s="97">
        <f t="shared" si="1"/>
        <v>-13007.31091209732</v>
      </c>
      <c r="G39" s="97">
        <f t="shared" si="1"/>
        <v>-13159.048083903541</v>
      </c>
      <c r="H39" s="97">
        <f t="shared" si="1"/>
        <v>-13338.556101437258</v>
      </c>
      <c r="I39" s="97">
        <f t="shared" si="1"/>
        <v>-13475.366224767127</v>
      </c>
      <c r="J39" s="97">
        <f t="shared" si="1"/>
        <v>-13640.19412849356</v>
      </c>
      <c r="K39" s="97">
        <f t="shared" si="1"/>
        <v>-13809.638635996907</v>
      </c>
      <c r="L39" s="97">
        <f t="shared" si="1"/>
        <v>-14007.823211308951</v>
      </c>
      <c r="M39" s="97">
        <f t="shared" si="1"/>
        <v>-14162.912476358108</v>
      </c>
      <c r="N39" s="97">
        <f t="shared" si="1"/>
        <v>-14347.019252610196</v>
      </c>
      <c r="O39" s="97">
        <f t="shared" si="1"/>
        <v>-14536.297762020597</v>
      </c>
      <c r="P39" s="97">
        <f t="shared" si="1"/>
        <v>-14755.416404543457</v>
      </c>
      <c r="Q39" s="97">
        <f t="shared" si="1"/>
        <v>-14930.971249924549</v>
      </c>
    </row>
    <row r="40" spans="1:17" hidden="1" outlineLevel="1" x14ac:dyDescent="0.2">
      <c r="A40" s="98" t="s">
        <v>126</v>
      </c>
      <c r="B40" s="347"/>
      <c r="C40" s="297">
        <f t="shared" ref="C40:Q40" si="2">C36</f>
        <v>5257.1428571428569</v>
      </c>
      <c r="D40" s="99">
        <f t="shared" si="2"/>
        <v>11970.514285714286</v>
      </c>
      <c r="E40" s="99">
        <f t="shared" si="2"/>
        <v>12354.284892857142</v>
      </c>
      <c r="F40" s="99">
        <f t="shared" si="2"/>
        <v>12786.684864107141</v>
      </c>
      <c r="G40" s="99">
        <f t="shared" si="2"/>
        <v>13234.21883435089</v>
      </c>
      <c r="H40" s="99">
        <f t="shared" si="2"/>
        <v>13736.440472167282</v>
      </c>
      <c r="I40" s="99">
        <f t="shared" si="2"/>
        <v>14176.826070827528</v>
      </c>
      <c r="J40" s="99">
        <f t="shared" si="2"/>
        <v>14673.014983306492</v>
      </c>
      <c r="K40" s="99">
        <f t="shared" si="2"/>
        <v>15186.570507722219</v>
      </c>
      <c r="L40" s="99">
        <f t="shared" si="2"/>
        <v>15762.881388528087</v>
      </c>
      <c r="M40" s="99">
        <f t="shared" si="2"/>
        <v>16268.233992134732</v>
      </c>
      <c r="N40" s="99">
        <f t="shared" si="2"/>
        <v>16837.622181859446</v>
      </c>
      <c r="O40" s="99">
        <f t="shared" si="2"/>
        <v>17426.938958224528</v>
      </c>
      <c r="P40" s="99">
        <f t="shared" si="2"/>
        <v>18088.268949459711</v>
      </c>
      <c r="Q40" s="99">
        <f t="shared" si="2"/>
        <v>18668.172685524067</v>
      </c>
    </row>
    <row r="41" spans="1:17" hidden="1" outlineLevel="1" x14ac:dyDescent="0.2">
      <c r="A41" s="98" t="s">
        <v>127</v>
      </c>
      <c r="B41" s="346"/>
      <c r="C41" s="296">
        <f t="shared" ref="C41:Q41" si="3">C39+C40</f>
        <v>-889.27103718199669</v>
      </c>
      <c r="D41" s="97">
        <f t="shared" si="3"/>
        <v>-768.7038263209397</v>
      </c>
      <c r="E41" s="97">
        <f t="shared" si="3"/>
        <v>-505.41136732142877</v>
      </c>
      <c r="F41" s="97">
        <f t="shared" si="3"/>
        <v>-220.62604799017936</v>
      </c>
      <c r="G41" s="97">
        <f t="shared" si="3"/>
        <v>75.170750447348837</v>
      </c>
      <c r="H41" s="97">
        <f t="shared" si="3"/>
        <v>397.88437073002387</v>
      </c>
      <c r="I41" s="97">
        <f t="shared" si="3"/>
        <v>701.45984606040111</v>
      </c>
      <c r="J41" s="97">
        <f t="shared" si="3"/>
        <v>1032.8208548129314</v>
      </c>
      <c r="K41" s="97">
        <f t="shared" si="3"/>
        <v>1376.9318717253118</v>
      </c>
      <c r="L41" s="97">
        <f t="shared" si="3"/>
        <v>1755.0581772191363</v>
      </c>
      <c r="M41" s="97">
        <f t="shared" si="3"/>
        <v>2105.3215157766244</v>
      </c>
      <c r="N41" s="97">
        <f t="shared" si="3"/>
        <v>2490.6029292492494</v>
      </c>
      <c r="O41" s="97">
        <f t="shared" si="3"/>
        <v>2890.641196203931</v>
      </c>
      <c r="P41" s="97">
        <f t="shared" si="3"/>
        <v>3332.8525449162535</v>
      </c>
      <c r="Q41" s="97">
        <f t="shared" si="3"/>
        <v>3737.2014355995179</v>
      </c>
    </row>
    <row r="42" spans="1:17" hidden="1" outlineLevel="1" x14ac:dyDescent="0.2">
      <c r="A42" s="98" t="s">
        <v>128</v>
      </c>
      <c r="B42" s="348"/>
      <c r="C42" s="298">
        <f t="shared" ref="C42:Q42" si="4">C31</f>
        <v>-1862</v>
      </c>
      <c r="D42" s="100">
        <f t="shared" si="4"/>
        <v>-1412</v>
      </c>
      <c r="E42" s="100">
        <f t="shared" si="4"/>
        <v>-1097</v>
      </c>
      <c r="F42" s="100">
        <f t="shared" si="4"/>
        <v>-876.5</v>
      </c>
      <c r="G42" s="100">
        <f t="shared" si="4"/>
        <v>-722.15</v>
      </c>
      <c r="H42" s="100">
        <f t="shared" si="4"/>
        <v>-252.10499999999999</v>
      </c>
      <c r="I42" s="100">
        <f t="shared" si="4"/>
        <v>-176.4735</v>
      </c>
      <c r="J42" s="100">
        <f t="shared" si="4"/>
        <v>-123.53144999999999</v>
      </c>
      <c r="K42" s="100">
        <f t="shared" si="4"/>
        <v>-86.472014999999999</v>
      </c>
      <c r="L42" s="100">
        <f t="shared" si="4"/>
        <v>-60.530410499999995</v>
      </c>
      <c r="M42" s="100">
        <f t="shared" si="4"/>
        <v>-42.371287350000003</v>
      </c>
      <c r="N42" s="100">
        <f t="shared" si="4"/>
        <v>-29.659901144999999</v>
      </c>
      <c r="O42" s="100">
        <f t="shared" si="4"/>
        <v>-20.7619308015</v>
      </c>
      <c r="P42" s="100">
        <f t="shared" si="4"/>
        <v>-14.533351561049999</v>
      </c>
      <c r="Q42" s="100">
        <f t="shared" si="4"/>
        <v>-10.173346092735001</v>
      </c>
    </row>
    <row r="43" spans="1:17" hidden="1" outlineLevel="1" x14ac:dyDescent="0.2">
      <c r="A43" s="98"/>
      <c r="B43" s="347"/>
      <c r="C43" s="299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1:17" collapsed="1" x14ac:dyDescent="0.2">
      <c r="A44" s="102" t="s">
        <v>129</v>
      </c>
      <c r="B44" s="349"/>
      <c r="C44" s="300">
        <f t="shared" ref="C44:Q44" si="5">C41+C42</f>
        <v>-2751.2710371819967</v>
      </c>
      <c r="D44" s="103">
        <f t="shared" si="5"/>
        <v>-2180.7038263209397</v>
      </c>
      <c r="E44" s="103">
        <f t="shared" si="5"/>
        <v>-1602.4113673214288</v>
      </c>
      <c r="F44" s="103">
        <f t="shared" si="5"/>
        <v>-1097.1260479901794</v>
      </c>
      <c r="G44" s="103">
        <f t="shared" si="5"/>
        <v>-646.97924955265114</v>
      </c>
      <c r="H44" s="103">
        <f t="shared" si="5"/>
        <v>145.77937073002389</v>
      </c>
      <c r="I44" s="103">
        <f t="shared" si="5"/>
        <v>524.98634606040105</v>
      </c>
      <c r="J44" s="103">
        <f t="shared" si="5"/>
        <v>909.28940481293148</v>
      </c>
      <c r="K44" s="103">
        <f t="shared" si="5"/>
        <v>1290.4598567253117</v>
      </c>
      <c r="L44" s="103">
        <f t="shared" si="5"/>
        <v>1694.5277667191363</v>
      </c>
      <c r="M44" s="103">
        <f t="shared" si="5"/>
        <v>2062.9502284266246</v>
      </c>
      <c r="N44" s="103">
        <f t="shared" si="5"/>
        <v>2460.9430281042496</v>
      </c>
      <c r="O44" s="103">
        <f t="shared" si="5"/>
        <v>2869.879265402431</v>
      </c>
      <c r="P44" s="103">
        <f t="shared" si="5"/>
        <v>3318.3191933552034</v>
      </c>
      <c r="Q44" s="103">
        <f t="shared" si="5"/>
        <v>3727.0280895067831</v>
      </c>
    </row>
    <row r="45" spans="1:17" x14ac:dyDescent="0.2">
      <c r="A45" s="82"/>
      <c r="B45" s="82"/>
      <c r="C45" s="301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1:17" x14ac:dyDescent="0.2">
      <c r="A46" s="104" t="s">
        <v>50</v>
      </c>
      <c r="B46" s="350"/>
      <c r="C46" s="289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1:17" hidden="1" outlineLevel="1" x14ac:dyDescent="0.2">
      <c r="A47" s="105" t="s">
        <v>137</v>
      </c>
      <c r="B47" s="70"/>
      <c r="C47" s="302">
        <f>'Data Property 5'!C206</f>
        <v>123000</v>
      </c>
      <c r="D47" s="106">
        <f>'Data Property 5'!D206</f>
        <v>125460</v>
      </c>
      <c r="E47" s="106">
        <f>'Data Property 5'!E206</f>
        <v>127969.2</v>
      </c>
      <c r="F47" s="106">
        <f>'Data Property 5'!F206</f>
        <v>130528.584</v>
      </c>
      <c r="G47" s="106">
        <f>'Data Property 5'!G206</f>
        <v>133139.15568</v>
      </c>
      <c r="H47" s="106">
        <f>'Data Property 5'!H206</f>
        <v>135801.93879360001</v>
      </c>
      <c r="I47" s="106">
        <f>'Data Property 5'!I206</f>
        <v>138517.97756947202</v>
      </c>
      <c r="J47" s="106">
        <f>'Data Property 5'!J206</f>
        <v>141288.33712086146</v>
      </c>
      <c r="K47" s="106">
        <f>'Data Property 5'!K206</f>
        <v>144114.10386327869</v>
      </c>
      <c r="L47" s="106">
        <f>'Data Property 5'!L206</f>
        <v>146996.38594054428</v>
      </c>
      <c r="M47" s="106">
        <f>'Data Property 5'!M206</f>
        <v>149936.31365935516</v>
      </c>
      <c r="N47" s="106">
        <f>'Data Property 5'!N206</f>
        <v>152935.03993254228</v>
      </c>
      <c r="O47" s="106">
        <f>'Data Property 5'!O206</f>
        <v>155993.74073119313</v>
      </c>
      <c r="P47" s="106">
        <f>'Data Property 5'!P206</f>
        <v>159113.61554581701</v>
      </c>
      <c r="Q47" s="106">
        <f>'Data Property 5'!Q206</f>
        <v>162295.88785673334</v>
      </c>
    </row>
    <row r="48" spans="1:17" hidden="1" outlineLevel="1" x14ac:dyDescent="0.2">
      <c r="A48" s="107" t="s">
        <v>35</v>
      </c>
      <c r="B48" s="189"/>
      <c r="C48" s="303">
        <f>-'Data Property 5'!C207</f>
        <v>-33456.114999999998</v>
      </c>
      <c r="D48" s="108">
        <f>-'Data Property 5'!D207</f>
        <v>-34366.315000000002</v>
      </c>
      <c r="E48" s="108">
        <f>-'Data Property 5'!E207</f>
        <v>-35294.718999999997</v>
      </c>
      <c r="F48" s="108">
        <f>-'Data Property 5'!F207</f>
        <v>-36241.691080000004</v>
      </c>
      <c r="G48" s="108">
        <f>-'Data Property 5'!G207</f>
        <v>-37207.602601599996</v>
      </c>
      <c r="H48" s="108">
        <f>-'Data Property 5'!H207</f>
        <v>-38192.832353632009</v>
      </c>
      <c r="I48" s="108">
        <f>-'Data Property 5'!I207</f>
        <v>-39197.766700704648</v>
      </c>
      <c r="J48" s="108">
        <f>-'Data Property 5'!J207</f>
        <v>-40222.799734718734</v>
      </c>
      <c r="K48" s="108">
        <f>-'Data Property 5'!K207</f>
        <v>-41268.33342941312</v>
      </c>
      <c r="L48" s="108">
        <f>-'Data Property 5'!L207</f>
        <v>-42334.777798001378</v>
      </c>
      <c r="M48" s="108">
        <f>-'Data Property 5'!M207</f>
        <v>-43422.551053961412</v>
      </c>
      <c r="N48" s="108">
        <f>-'Data Property 5'!N207</f>
        <v>-44532.079775040642</v>
      </c>
      <c r="O48" s="108">
        <f>-'Data Property 5'!O207</f>
        <v>-45663.799070541456</v>
      </c>
      <c r="P48" s="108">
        <f>-'Data Property 5'!P207</f>
        <v>-46818.152751952293</v>
      </c>
      <c r="Q48" s="108">
        <f>-'Data Property 5'!Q207</f>
        <v>-47995.593506991339</v>
      </c>
    </row>
    <row r="49" spans="1:17" hidden="1" outlineLevel="1" x14ac:dyDescent="0.2">
      <c r="A49" s="107" t="s">
        <v>139</v>
      </c>
      <c r="B49" s="81"/>
      <c r="C49" s="300">
        <f t="shared" ref="C49:Q49" si="6">C47+C48</f>
        <v>89543.885000000009</v>
      </c>
      <c r="D49" s="103">
        <f t="shared" si="6"/>
        <v>91093.684999999998</v>
      </c>
      <c r="E49" s="103">
        <f t="shared" si="6"/>
        <v>92674.481</v>
      </c>
      <c r="F49" s="103">
        <f t="shared" si="6"/>
        <v>94286.892919999998</v>
      </c>
      <c r="G49" s="103">
        <f t="shared" si="6"/>
        <v>95931.5530784</v>
      </c>
      <c r="H49" s="103">
        <f t="shared" si="6"/>
        <v>97609.106439968004</v>
      </c>
      <c r="I49" s="103">
        <f t="shared" si="6"/>
        <v>99320.210868767375</v>
      </c>
      <c r="J49" s="103">
        <f t="shared" si="6"/>
        <v>101065.53738614272</v>
      </c>
      <c r="K49" s="103">
        <f t="shared" si="6"/>
        <v>102845.77043386557</v>
      </c>
      <c r="L49" s="103">
        <f t="shared" si="6"/>
        <v>104661.6081425429</v>
      </c>
      <c r="M49" s="103">
        <f t="shared" si="6"/>
        <v>106513.76260539374</v>
      </c>
      <c r="N49" s="103">
        <f t="shared" si="6"/>
        <v>108402.96015750163</v>
      </c>
      <c r="O49" s="103">
        <f t="shared" si="6"/>
        <v>110329.94166065168</v>
      </c>
      <c r="P49" s="103">
        <f t="shared" si="6"/>
        <v>112295.46279386472</v>
      </c>
      <c r="Q49" s="103">
        <f t="shared" si="6"/>
        <v>114300.29434974201</v>
      </c>
    </row>
    <row r="50" spans="1:17" hidden="1" outlineLevel="1" x14ac:dyDescent="0.2">
      <c r="A50" s="107" t="s">
        <v>138</v>
      </c>
      <c r="B50" s="70"/>
      <c r="C50" s="302">
        <f>'Data Property 5'!C215</f>
        <v>96000</v>
      </c>
      <c r="D50" s="106">
        <f>'Data Property 5'!D215</f>
        <v>97920</v>
      </c>
      <c r="E50" s="106">
        <f>'Data Property 5'!E215</f>
        <v>99878.400000000009</v>
      </c>
      <c r="F50" s="106">
        <f>'Data Property 5'!F215</f>
        <v>101875.96800000001</v>
      </c>
      <c r="G50" s="106">
        <f>'Data Property 5'!G215</f>
        <v>103913.48736000001</v>
      </c>
      <c r="H50" s="106">
        <f>'Data Property 5'!H215</f>
        <v>105991.75710720001</v>
      </c>
      <c r="I50" s="106">
        <f>'Data Property 5'!I215</f>
        <v>108111.59224934402</v>
      </c>
      <c r="J50" s="106">
        <f>'Data Property 5'!J215</f>
        <v>110273.82409433089</v>
      </c>
      <c r="K50" s="106">
        <f>'Data Property 5'!K215</f>
        <v>112479.30057621752</v>
      </c>
      <c r="L50" s="106">
        <f>'Data Property 5'!L215</f>
        <v>114728.88658774187</v>
      </c>
      <c r="M50" s="106">
        <f>'Data Property 5'!M215</f>
        <v>117023.46431949671</v>
      </c>
      <c r="N50" s="106">
        <f>'Data Property 5'!N215</f>
        <v>119363.93360588665</v>
      </c>
      <c r="O50" s="106">
        <f>'Data Property 5'!O215</f>
        <v>121751.21227800439</v>
      </c>
      <c r="P50" s="106">
        <f>'Data Property 5'!P215</f>
        <v>124186.23652356448</v>
      </c>
      <c r="Q50" s="106">
        <f>'Data Property 5'!Q215</f>
        <v>126669.96125403578</v>
      </c>
    </row>
    <row r="51" spans="1:17" hidden="1" outlineLevel="1" x14ac:dyDescent="0.2">
      <c r="A51" s="107" t="s">
        <v>35</v>
      </c>
      <c r="B51" s="189"/>
      <c r="C51" s="303">
        <f>'Data Property 5'!C216</f>
        <v>23466.115000000002</v>
      </c>
      <c r="D51" s="108">
        <f>'Data Property 5'!D216</f>
        <v>24176.514999999999</v>
      </c>
      <c r="E51" s="108">
        <f>'Data Property 5'!E216</f>
        <v>24901.123000000003</v>
      </c>
      <c r="F51" s="108">
        <f>'Data Property 5'!F216</f>
        <v>25640.223160000001</v>
      </c>
      <c r="G51" s="108">
        <f>'Data Property 5'!G216</f>
        <v>26394.105323200005</v>
      </c>
      <c r="H51" s="108">
        <f>'Data Property 5'!H216</f>
        <v>27163.065129664006</v>
      </c>
      <c r="I51" s="108">
        <f>'Data Property 5'!I216</f>
        <v>27947.404132257288</v>
      </c>
      <c r="J51" s="108">
        <f>'Data Property 5'!J216</f>
        <v>28747.42991490243</v>
      </c>
      <c r="K51" s="108">
        <f>'Data Property 5'!K216</f>
        <v>29563.456213200479</v>
      </c>
      <c r="L51" s="108">
        <f>'Data Property 5'!L216</f>
        <v>30395.803037464495</v>
      </c>
      <c r="M51" s="108">
        <f>'Data Property 5'!M216</f>
        <v>31244.796798213782</v>
      </c>
      <c r="N51" s="108">
        <f>'Data Property 5'!N216</f>
        <v>32110.770434178059</v>
      </c>
      <c r="O51" s="108">
        <f>'Data Property 5'!O216</f>
        <v>32994.063542861622</v>
      </c>
      <c r="P51" s="108">
        <f>'Data Property 5'!P216</f>
        <v>33895.022513718861</v>
      </c>
      <c r="Q51" s="108">
        <f>'Data Property 5'!Q216</f>
        <v>34814.00066399324</v>
      </c>
    </row>
    <row r="52" spans="1:17" hidden="1" outlineLevel="1" x14ac:dyDescent="0.2">
      <c r="A52" s="109" t="s">
        <v>139</v>
      </c>
      <c r="B52" s="81"/>
      <c r="C52" s="304">
        <f t="shared" ref="C52:Q52" si="7">C50+C51</f>
        <v>119466.11500000001</v>
      </c>
      <c r="D52" s="110">
        <f t="shared" si="7"/>
        <v>122096.515</v>
      </c>
      <c r="E52" s="110">
        <f t="shared" si="7"/>
        <v>124779.52300000002</v>
      </c>
      <c r="F52" s="110">
        <f t="shared" si="7"/>
        <v>127516.19116000002</v>
      </c>
      <c r="G52" s="110">
        <f t="shared" si="7"/>
        <v>130307.59268320003</v>
      </c>
      <c r="H52" s="110">
        <f t="shared" si="7"/>
        <v>133154.82223686401</v>
      </c>
      <c r="I52" s="110">
        <f t="shared" si="7"/>
        <v>136058.99638160132</v>
      </c>
      <c r="J52" s="110">
        <f t="shared" si="7"/>
        <v>139021.25400923332</v>
      </c>
      <c r="K52" s="110">
        <f t="shared" si="7"/>
        <v>142042.756789418</v>
      </c>
      <c r="L52" s="110">
        <f t="shared" si="7"/>
        <v>145124.68962520637</v>
      </c>
      <c r="M52" s="110">
        <f t="shared" si="7"/>
        <v>148268.2611177105</v>
      </c>
      <c r="N52" s="110">
        <f t="shared" si="7"/>
        <v>151474.70404006471</v>
      </c>
      <c r="O52" s="110">
        <f t="shared" si="7"/>
        <v>154745.27582086599</v>
      </c>
      <c r="P52" s="110">
        <f t="shared" si="7"/>
        <v>158081.25903728334</v>
      </c>
      <c r="Q52" s="110">
        <f t="shared" si="7"/>
        <v>161483.961918029</v>
      </c>
    </row>
    <row r="53" spans="1:17" hidden="1" outlineLevel="1" x14ac:dyDescent="0.2">
      <c r="A53" s="78" t="s">
        <v>144</v>
      </c>
      <c r="B53" s="351"/>
      <c r="C53" s="305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1:17" hidden="1" outlineLevel="1" x14ac:dyDescent="0.2">
      <c r="A54" s="105" t="s">
        <v>137</v>
      </c>
      <c r="B54" s="70"/>
      <c r="C54" s="302">
        <f>'Data Property 5'!C209</f>
        <v>120248.728962818</v>
      </c>
      <c r="D54" s="106">
        <f>'Data Property 5'!D209</f>
        <v>123279.29617367906</v>
      </c>
      <c r="E54" s="106">
        <f>'Data Property 5'!E209</f>
        <v>126366.78863267857</v>
      </c>
      <c r="F54" s="106">
        <f>'Data Property 5'!F209</f>
        <v>129431.45795200982</v>
      </c>
      <c r="G54" s="106">
        <f>'Data Property 5'!G209</f>
        <v>132492.17643044735</v>
      </c>
      <c r="H54" s="106">
        <f>'Data Property 5'!H209</f>
        <v>135947.71816433003</v>
      </c>
      <c r="I54" s="106">
        <f>'Data Property 5'!I209</f>
        <v>139042.96391553243</v>
      </c>
      <c r="J54" s="106">
        <f>'Data Property 5'!J209</f>
        <v>142197.62652567439</v>
      </c>
      <c r="K54" s="106">
        <f>'Data Property 5'!K209</f>
        <v>145404.56372000399</v>
      </c>
      <c r="L54" s="106">
        <f>'Data Property 5'!L209</f>
        <v>148690.91370726342</v>
      </c>
      <c r="M54" s="106">
        <f>'Data Property 5'!M209</f>
        <v>151999.2638877818</v>
      </c>
      <c r="N54" s="106">
        <f>'Data Property 5'!N209</f>
        <v>155395.98296064654</v>
      </c>
      <c r="O54" s="106">
        <f>'Data Property 5'!O209</f>
        <v>158863.61999659557</v>
      </c>
      <c r="P54" s="106">
        <f>'Data Property 5'!P209</f>
        <v>162431.93473917223</v>
      </c>
      <c r="Q54" s="106">
        <f>'Data Property 5'!Q209</f>
        <v>166022.91594624013</v>
      </c>
    </row>
    <row r="55" spans="1:17" hidden="1" outlineLevel="1" x14ac:dyDescent="0.2">
      <c r="A55" s="107" t="s">
        <v>35</v>
      </c>
      <c r="B55" s="47"/>
      <c r="C55" s="298">
        <f>-'Data Property 5'!C210</f>
        <v>-32352.368616183954</v>
      </c>
      <c r="D55" s="100">
        <f>-'Data Property 5'!D210</f>
        <v>-33130.679630721621</v>
      </c>
      <c r="E55" s="100">
        <f>-'Data Property 5'!E210</f>
        <v>-34196.449798365175</v>
      </c>
      <c r="F55" s="100">
        <f>-'Data Property 5'!F210</f>
        <v>-35267.893639862647</v>
      </c>
      <c r="G55" s="100">
        <f>-'Data Property 5'!G210</f>
        <v>-36349.175663226393</v>
      </c>
      <c r="H55" s="100">
        <f>-'Data Property 5'!H210</f>
        <v>-37514.23194346972</v>
      </c>
      <c r="I55" s="100">
        <f>-'Data Property 5'!I210</f>
        <v>-38623.79492318078</v>
      </c>
      <c r="J55" s="100">
        <f>-'Data Property 5'!J210</f>
        <v>-39755.554043107128</v>
      </c>
      <c r="K55" s="100">
        <f>-'Data Property 5'!K210</f>
        <v>-40908.497432896009</v>
      </c>
      <c r="L55" s="100">
        <f>-'Data Property 5'!L210</f>
        <v>-42088.271204551362</v>
      </c>
      <c r="M55" s="100">
        <f>-'Data Property 5'!M210</f>
        <v>-43283.381543895208</v>
      </c>
      <c r="N55" s="100">
        <f>-'Data Property 5'!N210</f>
        <v>-44507.495533255453</v>
      </c>
      <c r="O55" s="100">
        <f>-'Data Property 5'!O210</f>
        <v>-45757.275875182058</v>
      </c>
      <c r="P55" s="100">
        <f>-'Data Property 5'!P210</f>
        <v>-47039.383585117554</v>
      </c>
      <c r="Q55" s="100">
        <f>-'Data Property 5'!Q210</f>
        <v>-48337.019010134041</v>
      </c>
    </row>
    <row r="56" spans="1:17" hidden="1" outlineLevel="1" x14ac:dyDescent="0.2">
      <c r="A56" s="107" t="s">
        <v>143</v>
      </c>
      <c r="B56" s="81"/>
      <c r="C56" s="300">
        <f t="shared" ref="C56:Q56" si="8">C54+C55</f>
        <v>87896.360346634043</v>
      </c>
      <c r="D56" s="103">
        <f t="shared" si="8"/>
        <v>90148.616542957432</v>
      </c>
      <c r="E56" s="103">
        <f t="shared" si="8"/>
        <v>92170.338834313385</v>
      </c>
      <c r="F56" s="103">
        <f t="shared" si="8"/>
        <v>94163.56431214718</v>
      </c>
      <c r="G56" s="103">
        <f t="shared" si="8"/>
        <v>96143.000767220947</v>
      </c>
      <c r="H56" s="103">
        <f t="shared" si="8"/>
        <v>98433.486220860301</v>
      </c>
      <c r="I56" s="103">
        <f t="shared" si="8"/>
        <v>100419.16899235165</v>
      </c>
      <c r="J56" s="103">
        <f t="shared" si="8"/>
        <v>102442.07248256727</v>
      </c>
      <c r="K56" s="103">
        <f t="shared" si="8"/>
        <v>104496.06628710798</v>
      </c>
      <c r="L56" s="103">
        <f t="shared" si="8"/>
        <v>106602.64250271206</v>
      </c>
      <c r="M56" s="103">
        <f t="shared" si="8"/>
        <v>108715.88234388659</v>
      </c>
      <c r="N56" s="103">
        <f t="shared" si="8"/>
        <v>110888.48742739108</v>
      </c>
      <c r="O56" s="103">
        <f t="shared" si="8"/>
        <v>113106.34412141351</v>
      </c>
      <c r="P56" s="103">
        <f t="shared" si="8"/>
        <v>115392.55115405467</v>
      </c>
      <c r="Q56" s="103">
        <f t="shared" si="8"/>
        <v>117685.89693610609</v>
      </c>
    </row>
    <row r="57" spans="1:17" hidden="1" outlineLevel="1" x14ac:dyDescent="0.2">
      <c r="A57" s="107" t="s">
        <v>138</v>
      </c>
      <c r="B57" s="70"/>
      <c r="C57" s="302">
        <f>'Data Property 5'!C218</f>
        <v>96000</v>
      </c>
      <c r="D57" s="106">
        <f>'Data Property 5'!D218</f>
        <v>97920</v>
      </c>
      <c r="E57" s="106">
        <f>'Data Property 5'!E218</f>
        <v>99878.400000000009</v>
      </c>
      <c r="F57" s="106">
        <f>'Data Property 5'!F218</f>
        <v>101875.96800000001</v>
      </c>
      <c r="G57" s="106">
        <f>'Data Property 5'!G218</f>
        <v>103913.48736000001</v>
      </c>
      <c r="H57" s="106">
        <f>'Data Property 5'!H218</f>
        <v>105991.75710720001</v>
      </c>
      <c r="I57" s="106">
        <f>'Data Property 5'!I218</f>
        <v>108111.59224934402</v>
      </c>
      <c r="J57" s="106">
        <f>'Data Property 5'!J218</f>
        <v>110273.82409433089</v>
      </c>
      <c r="K57" s="106">
        <f>'Data Property 5'!K218</f>
        <v>112479.30057621752</v>
      </c>
      <c r="L57" s="106">
        <f>'Data Property 5'!L218</f>
        <v>114728.88658774187</v>
      </c>
      <c r="M57" s="106">
        <f>'Data Property 5'!M218</f>
        <v>117023.46431949671</v>
      </c>
      <c r="N57" s="106">
        <f>'Data Property 5'!N218</f>
        <v>119363.93360588665</v>
      </c>
      <c r="O57" s="106">
        <f>'Data Property 5'!O218</f>
        <v>121751.21227800439</v>
      </c>
      <c r="P57" s="106">
        <f>'Data Property 5'!P218</f>
        <v>124186.23652356448</v>
      </c>
      <c r="Q57" s="106">
        <f>'Data Property 5'!Q218</f>
        <v>126669.96125403578</v>
      </c>
    </row>
    <row r="58" spans="1:17" hidden="1" outlineLevel="1" x14ac:dyDescent="0.2">
      <c r="A58" s="107" t="s">
        <v>35</v>
      </c>
      <c r="B58" s="47"/>
      <c r="C58" s="298">
        <f>-'Data Property 5'!C219</f>
        <v>-22362.368616183954</v>
      </c>
      <c r="D58" s="100">
        <f>-'Data Property 5'!D219</f>
        <v>-22940.879630721625</v>
      </c>
      <c r="E58" s="100">
        <f>-'Data Property 5'!E219</f>
        <v>-23802.85379836518</v>
      </c>
      <c r="F58" s="100">
        <f>-'Data Property 5'!F219</f>
        <v>-24666.425719862647</v>
      </c>
      <c r="G58" s="100">
        <f>-'Data Property 5'!G219</f>
        <v>-25535.678384826402</v>
      </c>
      <c r="H58" s="100">
        <f>-'Data Property 5'!H219</f>
        <v>-26484.464719501724</v>
      </c>
      <c r="I58" s="100">
        <f>-'Data Property 5'!I219</f>
        <v>-27373.432354733424</v>
      </c>
      <c r="J58" s="100">
        <f>-'Data Property 5'!J219</f>
        <v>-28280.184223290817</v>
      </c>
      <c r="K58" s="100">
        <f>-'Data Property 5'!K219</f>
        <v>-29203.620216683372</v>
      </c>
      <c r="L58" s="100">
        <f>-'Data Property 5'!L219</f>
        <v>-30149.296444014479</v>
      </c>
      <c r="M58" s="100">
        <f>-'Data Property 5'!M219</f>
        <v>-31105.627288147585</v>
      </c>
      <c r="N58" s="100">
        <f>-'Data Property 5'!N219</f>
        <v>-32086.186192392874</v>
      </c>
      <c r="O58" s="100">
        <f>-'Data Property 5'!O219</f>
        <v>-33087.540347502225</v>
      </c>
      <c r="P58" s="100">
        <f>-'Data Property 5'!P219</f>
        <v>-34116.253346884128</v>
      </c>
      <c r="Q58" s="100">
        <f>-'Data Property 5'!Q219</f>
        <v>-35155.426167135942</v>
      </c>
    </row>
    <row r="59" spans="1:17" hidden="1" outlineLevel="1" x14ac:dyDescent="0.2">
      <c r="A59" s="109" t="s">
        <v>142</v>
      </c>
      <c r="B59" s="81"/>
      <c r="C59" s="304">
        <f t="shared" ref="C59:Q59" si="9">C57+C58</f>
        <v>73637.631383816042</v>
      </c>
      <c r="D59" s="110">
        <f t="shared" si="9"/>
        <v>74979.120369278375</v>
      </c>
      <c r="E59" s="110">
        <f t="shared" si="9"/>
        <v>76075.546201634832</v>
      </c>
      <c r="F59" s="110">
        <f t="shared" si="9"/>
        <v>77209.542280137364</v>
      </c>
      <c r="G59" s="110">
        <f t="shared" si="9"/>
        <v>78377.808975173612</v>
      </c>
      <c r="H59" s="110">
        <f t="shared" si="9"/>
        <v>79507.292387698282</v>
      </c>
      <c r="I59" s="110">
        <f t="shared" si="9"/>
        <v>80738.159894610595</v>
      </c>
      <c r="J59" s="110">
        <f t="shared" si="9"/>
        <v>81993.639871040068</v>
      </c>
      <c r="K59" s="110">
        <f t="shared" si="9"/>
        <v>83275.680359534148</v>
      </c>
      <c r="L59" s="110">
        <f t="shared" si="9"/>
        <v>84579.590143727401</v>
      </c>
      <c r="M59" s="110">
        <f t="shared" si="9"/>
        <v>85917.837031349118</v>
      </c>
      <c r="N59" s="110">
        <f t="shared" si="9"/>
        <v>87277.74741349378</v>
      </c>
      <c r="O59" s="110">
        <f t="shared" si="9"/>
        <v>88663.671930502169</v>
      </c>
      <c r="P59" s="110">
        <f t="shared" si="9"/>
        <v>90069.983176680355</v>
      </c>
      <c r="Q59" s="110">
        <f t="shared" si="9"/>
        <v>91514.535086899836</v>
      </c>
    </row>
    <row r="60" spans="1:17" collapsed="1" x14ac:dyDescent="0.2">
      <c r="A60" s="210" t="s">
        <v>241</v>
      </c>
      <c r="B60" s="352"/>
      <c r="C60" s="304">
        <f t="shared" ref="C60:Q60" si="10">C56+C59</f>
        <v>161533.99173045007</v>
      </c>
      <c r="D60" s="110">
        <f t="shared" si="10"/>
        <v>165127.73691223579</v>
      </c>
      <c r="E60" s="110">
        <f t="shared" si="10"/>
        <v>168245.88503594822</v>
      </c>
      <c r="F60" s="110">
        <f t="shared" si="10"/>
        <v>171373.10659228454</v>
      </c>
      <c r="G60" s="110">
        <f t="shared" si="10"/>
        <v>174520.80974239454</v>
      </c>
      <c r="H60" s="110">
        <f t="shared" si="10"/>
        <v>177940.77860855858</v>
      </c>
      <c r="I60" s="110">
        <f t="shared" si="10"/>
        <v>181157.32888696226</v>
      </c>
      <c r="J60" s="110">
        <f t="shared" si="10"/>
        <v>184435.71235360735</v>
      </c>
      <c r="K60" s="110">
        <f t="shared" si="10"/>
        <v>187771.74664664213</v>
      </c>
      <c r="L60" s="110">
        <f t="shared" si="10"/>
        <v>191182.23264643946</v>
      </c>
      <c r="M60" s="110">
        <f t="shared" si="10"/>
        <v>194633.71937523573</v>
      </c>
      <c r="N60" s="110">
        <f t="shared" si="10"/>
        <v>198166.23484088486</v>
      </c>
      <c r="O60" s="110">
        <f t="shared" si="10"/>
        <v>201770.01605191568</v>
      </c>
      <c r="P60" s="110">
        <f t="shared" si="10"/>
        <v>205462.53433073504</v>
      </c>
      <c r="Q60" s="110">
        <f t="shared" si="10"/>
        <v>209200.43202300591</v>
      </c>
    </row>
    <row r="61" spans="1:17" x14ac:dyDescent="0.2">
      <c r="A61" s="73" t="s">
        <v>160</v>
      </c>
      <c r="B61" s="342"/>
      <c r="C61" s="306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1:17" hidden="1" outlineLevel="1" x14ac:dyDescent="0.2">
      <c r="A62" s="83" t="s">
        <v>140</v>
      </c>
      <c r="B62" s="60"/>
      <c r="C62" s="296">
        <f t="shared" ref="C62:Q62" si="11">-C48+C55</f>
        <v>1103.7463838160438</v>
      </c>
      <c r="D62" s="97">
        <f t="shared" si="11"/>
        <v>1235.6353692783814</v>
      </c>
      <c r="E62" s="97">
        <f t="shared" si="11"/>
        <v>1098.2692016348228</v>
      </c>
      <c r="F62" s="97">
        <f t="shared" si="11"/>
        <v>973.79744013735763</v>
      </c>
      <c r="G62" s="97">
        <f t="shared" si="11"/>
        <v>858.42693837360275</v>
      </c>
      <c r="H62" s="97">
        <f t="shared" si="11"/>
        <v>678.60041016228934</v>
      </c>
      <c r="I62" s="97">
        <f t="shared" si="11"/>
        <v>573.97177752386779</v>
      </c>
      <c r="J62" s="97">
        <f t="shared" si="11"/>
        <v>467.24569161160616</v>
      </c>
      <c r="K62" s="97">
        <f t="shared" si="11"/>
        <v>359.8359965171112</v>
      </c>
      <c r="L62" s="97">
        <f t="shared" si="11"/>
        <v>246.50659345001623</v>
      </c>
      <c r="M62" s="97">
        <f t="shared" si="11"/>
        <v>139.16951006620366</v>
      </c>
      <c r="N62" s="97">
        <f t="shared" si="11"/>
        <v>24.584241785189079</v>
      </c>
      <c r="O62" s="97">
        <f t="shared" si="11"/>
        <v>-93.476804640602495</v>
      </c>
      <c r="P62" s="97">
        <f t="shared" si="11"/>
        <v>-221.23083316526026</v>
      </c>
      <c r="Q62" s="97">
        <f t="shared" si="11"/>
        <v>-341.42550314270193</v>
      </c>
    </row>
    <row r="63" spans="1:17" hidden="1" outlineLevel="1" x14ac:dyDescent="0.2">
      <c r="A63" s="85" t="s">
        <v>141</v>
      </c>
      <c r="B63" s="76"/>
      <c r="C63" s="299">
        <f t="shared" ref="C63:Q63" si="12">-C51+C58</f>
        <v>-45828.483616183956</v>
      </c>
      <c r="D63" s="101">
        <f t="shared" si="12"/>
        <v>-47117.394630721625</v>
      </c>
      <c r="E63" s="101">
        <f t="shared" si="12"/>
        <v>-48703.976798365184</v>
      </c>
      <c r="F63" s="101">
        <f t="shared" si="12"/>
        <v>-50306.648879862652</v>
      </c>
      <c r="G63" s="101">
        <f t="shared" si="12"/>
        <v>-51929.783708026407</v>
      </c>
      <c r="H63" s="101">
        <f t="shared" si="12"/>
        <v>-53647.52984916573</v>
      </c>
      <c r="I63" s="101">
        <f t="shared" si="12"/>
        <v>-55320.836486990709</v>
      </c>
      <c r="J63" s="101">
        <f t="shared" si="12"/>
        <v>-57027.614138193247</v>
      </c>
      <c r="K63" s="101">
        <f t="shared" si="12"/>
        <v>-58767.076429883848</v>
      </c>
      <c r="L63" s="101">
        <f t="shared" si="12"/>
        <v>-60545.099481478974</v>
      </c>
      <c r="M63" s="101">
        <f t="shared" si="12"/>
        <v>-62350.424086361367</v>
      </c>
      <c r="N63" s="101">
        <f t="shared" si="12"/>
        <v>-64196.956626570929</v>
      </c>
      <c r="O63" s="101">
        <f t="shared" si="12"/>
        <v>-66081.603890363855</v>
      </c>
      <c r="P63" s="101">
        <f t="shared" si="12"/>
        <v>-68011.275860602997</v>
      </c>
      <c r="Q63" s="101">
        <f t="shared" si="12"/>
        <v>-69969.426831129182</v>
      </c>
    </row>
    <row r="64" spans="1:17" collapsed="1" x14ac:dyDescent="0.2">
      <c r="A64" s="111" t="s">
        <v>44</v>
      </c>
      <c r="B64" s="353"/>
      <c r="C64" s="307">
        <f t="shared" ref="C64:Q64" si="13">C62+C63</f>
        <v>-44724.737232367916</v>
      </c>
      <c r="D64" s="112">
        <f t="shared" si="13"/>
        <v>-45881.759261443243</v>
      </c>
      <c r="E64" s="112">
        <f t="shared" si="13"/>
        <v>-47605.707596730361</v>
      </c>
      <c r="F64" s="112">
        <f t="shared" si="13"/>
        <v>-49332.851439725295</v>
      </c>
      <c r="G64" s="112">
        <f t="shared" si="13"/>
        <v>-51071.356769652804</v>
      </c>
      <c r="H64" s="112">
        <f t="shared" si="13"/>
        <v>-52968.929439003441</v>
      </c>
      <c r="I64" s="112">
        <f t="shared" si="13"/>
        <v>-54746.864709466841</v>
      </c>
      <c r="J64" s="112">
        <f t="shared" si="13"/>
        <v>-56560.36844658164</v>
      </c>
      <c r="K64" s="112">
        <f t="shared" si="13"/>
        <v>-58407.240433366736</v>
      </c>
      <c r="L64" s="112">
        <f t="shared" si="13"/>
        <v>-60298.592888028958</v>
      </c>
      <c r="M64" s="112">
        <f t="shared" si="13"/>
        <v>-62211.254576295163</v>
      </c>
      <c r="N64" s="112">
        <f t="shared" si="13"/>
        <v>-64172.37238478574</v>
      </c>
      <c r="O64" s="112">
        <f t="shared" si="13"/>
        <v>-66175.080695004464</v>
      </c>
      <c r="P64" s="112">
        <f t="shared" si="13"/>
        <v>-68232.506693768257</v>
      </c>
      <c r="Q64" s="112">
        <f t="shared" si="13"/>
        <v>-70310.852334271884</v>
      </c>
    </row>
    <row r="65" spans="1:17" x14ac:dyDescent="0.2">
      <c r="A65" s="76"/>
      <c r="B65" s="76"/>
      <c r="C65" s="308"/>
      <c r="D65" s="189"/>
      <c r="E65" s="189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</row>
    <row r="66" spans="1:17" x14ac:dyDescent="0.2">
      <c r="A66" s="104" t="s">
        <v>130</v>
      </c>
      <c r="B66" s="350"/>
      <c r="C66" s="309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</row>
    <row r="67" spans="1:17" x14ac:dyDescent="0.2">
      <c r="A67" s="96" t="str">
        <f>A44</f>
        <v>Total Property Loss (Gain)</v>
      </c>
      <c r="B67" s="346"/>
      <c r="C67" s="296">
        <f t="shared" ref="C67:Q67" si="14">C41</f>
        <v>-889.27103718199669</v>
      </c>
      <c r="D67" s="97">
        <f t="shared" si="14"/>
        <v>-768.7038263209397</v>
      </c>
      <c r="E67" s="97">
        <f t="shared" si="14"/>
        <v>-505.41136732142877</v>
      </c>
      <c r="F67" s="97">
        <f t="shared" si="14"/>
        <v>-220.62604799017936</v>
      </c>
      <c r="G67" s="97">
        <f t="shared" si="14"/>
        <v>75.170750447348837</v>
      </c>
      <c r="H67" s="97">
        <f t="shared" si="14"/>
        <v>397.88437073002387</v>
      </c>
      <c r="I67" s="97">
        <f t="shared" si="14"/>
        <v>701.45984606040111</v>
      </c>
      <c r="J67" s="97">
        <f t="shared" si="14"/>
        <v>1032.8208548129314</v>
      </c>
      <c r="K67" s="97">
        <f t="shared" si="14"/>
        <v>1376.9318717253118</v>
      </c>
      <c r="L67" s="97">
        <f t="shared" si="14"/>
        <v>1755.0581772191363</v>
      </c>
      <c r="M67" s="97">
        <f t="shared" si="14"/>
        <v>2105.3215157766244</v>
      </c>
      <c r="N67" s="97">
        <f t="shared" si="14"/>
        <v>2490.6029292492494</v>
      </c>
      <c r="O67" s="97">
        <f t="shared" si="14"/>
        <v>2890.641196203931</v>
      </c>
      <c r="P67" s="97">
        <f t="shared" si="14"/>
        <v>3332.8525449162535</v>
      </c>
      <c r="Q67" s="97">
        <f t="shared" si="14"/>
        <v>3737.2014355995179</v>
      </c>
    </row>
    <row r="68" spans="1:17" x14ac:dyDescent="0.2">
      <c r="A68" s="98" t="s">
        <v>131</v>
      </c>
      <c r="B68" s="348"/>
      <c r="C68" s="310">
        <f t="shared" ref="C68:Q68" si="15">C64</f>
        <v>-44724.737232367916</v>
      </c>
      <c r="D68" s="114">
        <f t="shared" si="15"/>
        <v>-45881.759261443243</v>
      </c>
      <c r="E68" s="114">
        <f t="shared" si="15"/>
        <v>-47605.707596730361</v>
      </c>
      <c r="F68" s="114">
        <f t="shared" si="15"/>
        <v>-49332.851439725295</v>
      </c>
      <c r="G68" s="114">
        <f t="shared" si="15"/>
        <v>-51071.356769652804</v>
      </c>
      <c r="H68" s="114">
        <f t="shared" si="15"/>
        <v>-52968.929439003441</v>
      </c>
      <c r="I68" s="114">
        <f t="shared" si="15"/>
        <v>-54746.864709466841</v>
      </c>
      <c r="J68" s="114">
        <f t="shared" si="15"/>
        <v>-56560.36844658164</v>
      </c>
      <c r="K68" s="114">
        <f t="shared" si="15"/>
        <v>-58407.240433366736</v>
      </c>
      <c r="L68" s="114">
        <f t="shared" si="15"/>
        <v>-60298.592888028958</v>
      </c>
      <c r="M68" s="114">
        <f t="shared" si="15"/>
        <v>-62211.254576295163</v>
      </c>
      <c r="N68" s="114">
        <f t="shared" si="15"/>
        <v>-64172.37238478574</v>
      </c>
      <c r="O68" s="114">
        <f t="shared" si="15"/>
        <v>-66175.080695004464</v>
      </c>
      <c r="P68" s="114">
        <f t="shared" si="15"/>
        <v>-68232.506693768257</v>
      </c>
      <c r="Q68" s="114">
        <f t="shared" si="15"/>
        <v>-70310.852334271884</v>
      </c>
    </row>
    <row r="69" spans="1:17" x14ac:dyDescent="0.2">
      <c r="A69" s="98"/>
      <c r="B69" s="348"/>
      <c r="C69" s="310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</row>
    <row r="70" spans="1:17" ht="15.75" x14ac:dyDescent="0.25">
      <c r="A70" s="115" t="s">
        <v>132</v>
      </c>
      <c r="B70" s="354"/>
      <c r="C70" s="311">
        <f t="shared" ref="C70:Q70" si="16">-(C67+C68)</f>
        <v>45614.008269549915</v>
      </c>
      <c r="D70" s="116">
        <f t="shared" si="16"/>
        <v>46650.463087764183</v>
      </c>
      <c r="E70" s="116">
        <f t="shared" si="16"/>
        <v>48111.118964051791</v>
      </c>
      <c r="F70" s="116">
        <f t="shared" si="16"/>
        <v>49553.47748771547</v>
      </c>
      <c r="G70" s="116">
        <f t="shared" si="16"/>
        <v>50996.186019205459</v>
      </c>
      <c r="H70" s="116">
        <f t="shared" si="16"/>
        <v>52571.045068273415</v>
      </c>
      <c r="I70" s="116">
        <f t="shared" si="16"/>
        <v>54045.404863406438</v>
      </c>
      <c r="J70" s="116">
        <f t="shared" si="16"/>
        <v>55527.547591768707</v>
      </c>
      <c r="K70" s="116">
        <f t="shared" si="16"/>
        <v>57030.308561641425</v>
      </c>
      <c r="L70" s="116">
        <f t="shared" si="16"/>
        <v>58543.534710809821</v>
      </c>
      <c r="M70" s="116">
        <f t="shared" si="16"/>
        <v>60105.933060518539</v>
      </c>
      <c r="N70" s="116">
        <f t="shared" si="16"/>
        <v>61681.769455536487</v>
      </c>
      <c r="O70" s="116">
        <f t="shared" si="16"/>
        <v>63284.439498800537</v>
      </c>
      <c r="P70" s="116">
        <f t="shared" si="16"/>
        <v>64899.654148852002</v>
      </c>
      <c r="Q70" s="116">
        <f t="shared" si="16"/>
        <v>66573.650898672364</v>
      </c>
    </row>
    <row r="71" spans="1:17" ht="15.75" x14ac:dyDescent="0.25">
      <c r="A71" s="117" t="s">
        <v>133</v>
      </c>
      <c r="B71" s="355"/>
      <c r="C71" s="312">
        <f>C70/'Input Property 5'!$B$64</f>
        <v>872.99537357990266</v>
      </c>
      <c r="D71" s="118">
        <f>D70/'Input Property 5'!$B$64</f>
        <v>892.83182943089344</v>
      </c>
      <c r="E71" s="118">
        <f>E70/'Input Property 5'!$B$64</f>
        <v>920.78696581917302</v>
      </c>
      <c r="F71" s="118">
        <f>F70/'Input Property 5'!$B$64</f>
        <v>948.39191364048747</v>
      </c>
      <c r="G71" s="118">
        <f>G70/'Input Property 5'!$B$64</f>
        <v>976.00356017618105</v>
      </c>
      <c r="H71" s="118">
        <f>H70/'Input Property 5'!$B$64</f>
        <v>1006.1444032205438</v>
      </c>
      <c r="I71" s="118">
        <f>I70/'Input Property 5'!$B$64</f>
        <v>1034.3618155675874</v>
      </c>
      <c r="J71" s="118">
        <f>J70/'Input Property 5'!$B$64</f>
        <v>1062.7281835745207</v>
      </c>
      <c r="K71" s="118">
        <f>K70/'Input Property 5'!$B$64</f>
        <v>1091.4891590744771</v>
      </c>
      <c r="L71" s="118">
        <f>L70/'Input Property 5'!$B$64</f>
        <v>1120.4504250872692</v>
      </c>
      <c r="M71" s="118">
        <f>M70/'Input Property 5'!$B$64</f>
        <v>1150.3527858472448</v>
      </c>
      <c r="N71" s="118">
        <f>N70/'Input Property 5'!$B$64</f>
        <v>1180.5123340772534</v>
      </c>
      <c r="O71" s="118">
        <f>O70/'Input Property 5'!$B$64</f>
        <v>1211.1854449531204</v>
      </c>
      <c r="P71" s="118">
        <f>P70/'Input Property 5'!$B$64</f>
        <v>1242.0986439971675</v>
      </c>
      <c r="Q71" s="118">
        <f>Q70/'Input Property 5'!$B$64</f>
        <v>1274.1368593047343</v>
      </c>
    </row>
    <row r="72" spans="1:17" x14ac:dyDescent="0.2">
      <c r="A72" s="76"/>
      <c r="B72" s="76"/>
      <c r="C72" s="308"/>
      <c r="D72" s="189"/>
      <c r="E72" s="189"/>
      <c r="F72" s="189"/>
      <c r="G72" s="189"/>
      <c r="H72" s="189"/>
      <c r="I72" s="189"/>
      <c r="J72" s="189"/>
      <c r="K72" s="189"/>
      <c r="L72" s="189"/>
      <c r="M72" s="189"/>
      <c r="N72" s="189"/>
      <c r="O72" s="189"/>
      <c r="P72" s="189"/>
      <c r="Q72" s="189"/>
    </row>
    <row r="73" spans="1:17" x14ac:dyDescent="0.2">
      <c r="A73" s="52" t="s">
        <v>134</v>
      </c>
      <c r="B73" s="52"/>
      <c r="C73" s="313">
        <f t="shared" ref="C73:Q73" si="17">C36</f>
        <v>5257.1428571428569</v>
      </c>
      <c r="D73" s="53">
        <f t="shared" si="17"/>
        <v>11970.514285714286</v>
      </c>
      <c r="E73" s="53">
        <f t="shared" si="17"/>
        <v>12354.284892857142</v>
      </c>
      <c r="F73" s="53">
        <f t="shared" si="17"/>
        <v>12786.684864107141</v>
      </c>
      <c r="G73" s="53">
        <f t="shared" si="17"/>
        <v>13234.21883435089</v>
      </c>
      <c r="H73" s="53">
        <f t="shared" si="17"/>
        <v>13736.440472167282</v>
      </c>
      <c r="I73" s="53">
        <f t="shared" si="17"/>
        <v>14176.826070827528</v>
      </c>
      <c r="J73" s="53">
        <f t="shared" si="17"/>
        <v>14673.014983306492</v>
      </c>
      <c r="K73" s="53">
        <f t="shared" si="17"/>
        <v>15186.570507722219</v>
      </c>
      <c r="L73" s="53">
        <f t="shared" si="17"/>
        <v>15762.881388528087</v>
      </c>
      <c r="M73" s="53">
        <f t="shared" si="17"/>
        <v>16268.233992134732</v>
      </c>
      <c r="N73" s="53">
        <f t="shared" si="17"/>
        <v>16837.622181859446</v>
      </c>
      <c r="O73" s="53">
        <f t="shared" si="17"/>
        <v>17426.938958224528</v>
      </c>
      <c r="P73" s="53">
        <f t="shared" si="17"/>
        <v>18088.268949459711</v>
      </c>
      <c r="Q73" s="53">
        <f t="shared" si="17"/>
        <v>18668.172685524067</v>
      </c>
    </row>
    <row r="74" spans="1:17" x14ac:dyDescent="0.2">
      <c r="A74" s="52" t="s">
        <v>135</v>
      </c>
      <c r="B74" s="356"/>
      <c r="C74" s="314">
        <f t="shared" ref="C74:Q74" si="18">IF(C68&lt;0,0,C68)</f>
        <v>0</v>
      </c>
      <c r="D74" s="54">
        <f t="shared" si="18"/>
        <v>0</v>
      </c>
      <c r="E74" s="54">
        <f t="shared" si="18"/>
        <v>0</v>
      </c>
      <c r="F74" s="54">
        <f t="shared" si="18"/>
        <v>0</v>
      </c>
      <c r="G74" s="54">
        <f t="shared" si="18"/>
        <v>0</v>
      </c>
      <c r="H74" s="54">
        <f t="shared" si="18"/>
        <v>0</v>
      </c>
      <c r="I74" s="54">
        <f t="shared" si="18"/>
        <v>0</v>
      </c>
      <c r="J74" s="54">
        <f t="shared" si="18"/>
        <v>0</v>
      </c>
      <c r="K74" s="54">
        <f t="shared" si="18"/>
        <v>0</v>
      </c>
      <c r="L74" s="54">
        <f t="shared" si="18"/>
        <v>0</v>
      </c>
      <c r="M74" s="54">
        <f t="shared" si="18"/>
        <v>0</v>
      </c>
      <c r="N74" s="54">
        <f t="shared" si="18"/>
        <v>0</v>
      </c>
      <c r="O74" s="54">
        <f t="shared" si="18"/>
        <v>0</v>
      </c>
      <c r="P74" s="54">
        <f t="shared" si="18"/>
        <v>0</v>
      </c>
      <c r="Q74" s="54">
        <f t="shared" si="18"/>
        <v>0</v>
      </c>
    </row>
    <row r="75" spans="1:17" x14ac:dyDescent="0.2">
      <c r="A75" s="52" t="s">
        <v>136</v>
      </c>
      <c r="B75" s="357"/>
      <c r="C75" s="315">
        <f t="shared" ref="C75:Q75" si="19">IF(C70&gt;0,C70,0)</f>
        <v>45614.008269549915</v>
      </c>
      <c r="D75" s="59">
        <f t="shared" si="19"/>
        <v>46650.463087764183</v>
      </c>
      <c r="E75" s="59">
        <f t="shared" si="19"/>
        <v>48111.118964051791</v>
      </c>
      <c r="F75" s="59">
        <f t="shared" si="19"/>
        <v>49553.47748771547</v>
      </c>
      <c r="G75" s="59">
        <f t="shared" si="19"/>
        <v>50996.186019205459</v>
      </c>
      <c r="H75" s="59">
        <f t="shared" si="19"/>
        <v>52571.045068273415</v>
      </c>
      <c r="I75" s="59">
        <f t="shared" si="19"/>
        <v>54045.404863406438</v>
      </c>
      <c r="J75" s="59">
        <f t="shared" si="19"/>
        <v>55527.547591768707</v>
      </c>
      <c r="K75" s="59">
        <f t="shared" si="19"/>
        <v>57030.308561641425</v>
      </c>
      <c r="L75" s="59">
        <f t="shared" si="19"/>
        <v>58543.534710809821</v>
      </c>
      <c r="M75" s="59">
        <f t="shared" si="19"/>
        <v>60105.933060518539</v>
      </c>
      <c r="N75" s="59">
        <f t="shared" si="19"/>
        <v>61681.769455536487</v>
      </c>
      <c r="O75" s="59">
        <f t="shared" si="19"/>
        <v>63284.439498800537</v>
      </c>
      <c r="P75" s="59">
        <f t="shared" si="19"/>
        <v>64899.654148852002</v>
      </c>
      <c r="Q75" s="59">
        <f t="shared" si="19"/>
        <v>66573.650898672364</v>
      </c>
    </row>
    <row r="76" spans="1:17" ht="13.5" thickBot="1" x14ac:dyDescent="0.25">
      <c r="A76" s="48" t="s">
        <v>86</v>
      </c>
      <c r="B76" s="358"/>
      <c r="C76" s="316">
        <f t="shared" ref="C76:Q76" si="20">SUM(C73:C75)</f>
        <v>50871.15112669277</v>
      </c>
      <c r="D76" s="61">
        <f t="shared" si="20"/>
        <v>58620.977373478469</v>
      </c>
      <c r="E76" s="61">
        <f t="shared" si="20"/>
        <v>60465.403856908932</v>
      </c>
      <c r="F76" s="61">
        <f t="shared" si="20"/>
        <v>62340.162351822612</v>
      </c>
      <c r="G76" s="61">
        <f t="shared" si="20"/>
        <v>64230.404853556349</v>
      </c>
      <c r="H76" s="61">
        <f t="shared" si="20"/>
        <v>66307.485540440699</v>
      </c>
      <c r="I76" s="61">
        <f t="shared" si="20"/>
        <v>68222.230934233972</v>
      </c>
      <c r="J76" s="61">
        <f t="shared" si="20"/>
        <v>70200.562575075193</v>
      </c>
      <c r="K76" s="61">
        <f t="shared" si="20"/>
        <v>72216.87906936364</v>
      </c>
      <c r="L76" s="61">
        <f t="shared" si="20"/>
        <v>74306.416099337905</v>
      </c>
      <c r="M76" s="61">
        <f t="shared" si="20"/>
        <v>76374.167052653269</v>
      </c>
      <c r="N76" s="61">
        <f t="shared" si="20"/>
        <v>78519.391637395936</v>
      </c>
      <c r="O76" s="61">
        <f t="shared" si="20"/>
        <v>80711.378457025072</v>
      </c>
      <c r="P76" s="61">
        <f t="shared" si="20"/>
        <v>82987.923098311716</v>
      </c>
      <c r="Q76" s="61">
        <f t="shared" si="20"/>
        <v>85241.823584196434</v>
      </c>
    </row>
    <row r="77" spans="1:17" ht="13.5" thickTop="1" x14ac:dyDescent="0.2">
      <c r="B77" s="359"/>
      <c r="C77" s="198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</row>
    <row r="78" spans="1:17" x14ac:dyDescent="0.2">
      <c r="A78" s="46" t="s">
        <v>159</v>
      </c>
      <c r="C78" s="317">
        <f>'Data Property 5'!C161-'Input Property 5'!B20</f>
        <v>174</v>
      </c>
      <c r="D78" s="68">
        <f>'Data Property 5'!D161-'Data Property 5'!C161</f>
        <v>366</v>
      </c>
      <c r="E78" s="68">
        <f>'Data Property 5'!E161-'Data Property 5'!D161</f>
        <v>365</v>
      </c>
      <c r="F78" s="68">
        <f>'Data Property 5'!F161-'Data Property 5'!E161</f>
        <v>365</v>
      </c>
      <c r="G78" s="68">
        <f>'Data Property 5'!G161-'Data Property 5'!F161</f>
        <v>365</v>
      </c>
      <c r="H78" s="68">
        <f>'Data Property 5'!H161-'Data Property 5'!G161</f>
        <v>366</v>
      </c>
      <c r="I78" s="68">
        <f>'Data Property 5'!I161-'Data Property 5'!H161</f>
        <v>365</v>
      </c>
      <c r="J78" s="68">
        <f>'Data Property 5'!J161-'Data Property 5'!I161</f>
        <v>365</v>
      </c>
      <c r="K78" s="68">
        <f>'Data Property 5'!K161-'Data Property 5'!J161</f>
        <v>365</v>
      </c>
      <c r="L78" s="68">
        <f>'Data Property 5'!L161-'Data Property 5'!K161</f>
        <v>366</v>
      </c>
      <c r="M78" s="68">
        <f>'Data Property 5'!M161-'Data Property 5'!L161</f>
        <v>365</v>
      </c>
      <c r="N78" s="68">
        <f>'Data Property 5'!N161-'Data Property 5'!M161</f>
        <v>365</v>
      </c>
      <c r="O78" s="68">
        <f>'Data Property 5'!O161-'Data Property 5'!N161</f>
        <v>365</v>
      </c>
      <c r="P78" s="68">
        <f>'Data Property 5'!P161-'Data Property 5'!O161</f>
        <v>366</v>
      </c>
      <c r="Q78" s="68">
        <f>'Data Property 5'!Q161-'Data Property 5'!P161</f>
        <v>365</v>
      </c>
    </row>
    <row r="79" spans="1:17" x14ac:dyDescent="0.2">
      <c r="A79" s="46" t="s">
        <v>152</v>
      </c>
      <c r="C79" s="318">
        <f t="shared" ref="C79:Q79" si="21">C78-(C35*7)</f>
        <v>-176</v>
      </c>
      <c r="D79" s="65">
        <f t="shared" si="21"/>
        <v>16</v>
      </c>
      <c r="E79" s="65">
        <f t="shared" si="21"/>
        <v>15</v>
      </c>
      <c r="F79" s="65">
        <f t="shared" si="21"/>
        <v>15</v>
      </c>
      <c r="G79" s="65">
        <f t="shared" si="21"/>
        <v>15</v>
      </c>
      <c r="H79" s="65">
        <f t="shared" si="21"/>
        <v>16</v>
      </c>
      <c r="I79" s="65">
        <f t="shared" si="21"/>
        <v>15</v>
      </c>
      <c r="J79" s="65">
        <f t="shared" si="21"/>
        <v>15</v>
      </c>
      <c r="K79" s="65">
        <f t="shared" si="21"/>
        <v>15</v>
      </c>
      <c r="L79" s="65">
        <f t="shared" si="21"/>
        <v>16</v>
      </c>
      <c r="M79" s="65">
        <f t="shared" si="21"/>
        <v>15</v>
      </c>
      <c r="N79" s="65">
        <f t="shared" si="21"/>
        <v>15</v>
      </c>
      <c r="O79" s="65">
        <f t="shared" si="21"/>
        <v>15</v>
      </c>
      <c r="P79" s="65">
        <f t="shared" si="21"/>
        <v>16</v>
      </c>
      <c r="Q79" s="65">
        <f t="shared" si="21"/>
        <v>15</v>
      </c>
    </row>
    <row r="80" spans="1:17" x14ac:dyDescent="0.2">
      <c r="A80" s="49" t="s">
        <v>116</v>
      </c>
      <c r="B80" s="49"/>
      <c r="C80" s="319">
        <f>C40/'Input Property 5'!$B$5*365/C78</f>
        <v>6.0403760826650103E-2</v>
      </c>
      <c r="D80" s="50">
        <f>D40/'Input Property 5'!$B$5</f>
        <v>6.5566710224649646E-2</v>
      </c>
      <c r="E80" s="50">
        <f>E40/'Input Property 5'!$B$5</f>
        <v>6.7668756602164329E-2</v>
      </c>
      <c r="F80" s="50">
        <f>F40/'Input Property 5'!$B$5</f>
        <v>7.0037163083240081E-2</v>
      </c>
      <c r="G80" s="50">
        <f>G40/'Input Property 5'!$B$5</f>
        <v>7.2488463791153479E-2</v>
      </c>
      <c r="H80" s="50">
        <f>H40/'Input Property 5'!$B$5</f>
        <v>7.5239308058099807E-2</v>
      </c>
      <c r="I80" s="50">
        <f>I40/'Input Property 5'!$B$5</f>
        <v>7.7651454624678359E-2</v>
      </c>
      <c r="J80" s="50">
        <f>J40/'Input Property 5'!$B$5</f>
        <v>8.0369255536542103E-2</v>
      </c>
      <c r="K80" s="50">
        <f>K40/'Input Property 5'!$B$5</f>
        <v>8.3182179480321083E-2</v>
      </c>
      <c r="L80" s="50">
        <f>L40/'Input Property 5'!$B$5</f>
        <v>8.6338836547779407E-2</v>
      </c>
      <c r="M80" s="50">
        <f>M40/'Input Property 5'!$B$5</f>
        <v>8.9106830213806928E-2</v>
      </c>
      <c r="N80" s="50">
        <f>N40/'Input Property 5'!$B$5</f>
        <v>9.2225569271290164E-2</v>
      </c>
      <c r="O80" s="50">
        <f>O40/'Input Property 5'!$B$5</f>
        <v>9.5453464195785334E-2</v>
      </c>
      <c r="P80" s="50">
        <f>P40/'Input Property 5'!$B$5</f>
        <v>9.9075800785779211E-2</v>
      </c>
      <c r="Q80" s="50">
        <f>Q40/'Input Property 5'!$B$5</f>
        <v>0.10225213718313013</v>
      </c>
    </row>
    <row r="81" spans="1:10" x14ac:dyDescent="0.2">
      <c r="A81" s="76"/>
      <c r="B81" s="76"/>
      <c r="C81" s="308"/>
      <c r="D81" s="204"/>
      <c r="E81" s="252"/>
      <c r="F81" s="253"/>
      <c r="G81" s="205"/>
      <c r="H81" s="206"/>
      <c r="I81" s="207"/>
      <c r="J81" s="76"/>
    </row>
    <row r="82" spans="1:10" x14ac:dyDescent="0.2">
      <c r="A82" s="76"/>
      <c r="B82" s="76"/>
      <c r="C82" s="308"/>
      <c r="D82" s="204"/>
      <c r="E82" s="252"/>
      <c r="F82" s="253"/>
      <c r="G82" s="205"/>
      <c r="H82" s="206"/>
      <c r="I82" s="207"/>
      <c r="J82" s="76"/>
    </row>
    <row r="83" spans="1:10" x14ac:dyDescent="0.2">
      <c r="A83" s="76"/>
      <c r="B83" s="76"/>
      <c r="C83" s="308"/>
      <c r="D83" s="204"/>
      <c r="E83" s="252"/>
      <c r="F83" s="253"/>
      <c r="G83" s="205"/>
      <c r="H83" s="206"/>
      <c r="I83" s="207"/>
      <c r="J83" s="76"/>
    </row>
    <row r="84" spans="1:10" x14ac:dyDescent="0.2">
      <c r="A84" s="76"/>
      <c r="B84" s="76"/>
      <c r="C84" s="308"/>
      <c r="D84" s="204"/>
      <c r="E84" s="252"/>
      <c r="F84" s="253"/>
      <c r="G84" s="205"/>
      <c r="H84" s="206"/>
      <c r="I84" s="207"/>
      <c r="J84" s="76"/>
    </row>
    <row r="85" spans="1:10" x14ac:dyDescent="0.2">
      <c r="A85" s="76"/>
      <c r="B85" s="76"/>
      <c r="C85" s="308"/>
      <c r="D85" s="204"/>
      <c r="E85" s="252"/>
      <c r="F85" s="253"/>
      <c r="G85" s="205"/>
      <c r="H85" s="206"/>
      <c r="I85" s="207"/>
      <c r="J85" s="76"/>
    </row>
    <row r="86" spans="1:10" x14ac:dyDescent="0.2">
      <c r="A86" s="76"/>
      <c r="B86" s="76"/>
      <c r="C86" s="308"/>
      <c r="D86" s="204"/>
      <c r="E86" s="252"/>
      <c r="F86" s="253"/>
      <c r="G86" s="205"/>
      <c r="H86" s="206"/>
      <c r="I86" s="207"/>
      <c r="J86" s="76"/>
    </row>
    <row r="87" spans="1:10" x14ac:dyDescent="0.2">
      <c r="A87" s="76"/>
      <c r="B87" s="76"/>
      <c r="C87" s="308"/>
      <c r="D87" s="204"/>
      <c r="E87" s="252"/>
      <c r="F87" s="253"/>
      <c r="G87" s="205"/>
      <c r="H87" s="206"/>
      <c r="I87" s="207"/>
      <c r="J87" s="76"/>
    </row>
    <row r="88" spans="1:10" x14ac:dyDescent="0.2">
      <c r="A88" s="76"/>
      <c r="B88" s="76"/>
      <c r="C88" s="308"/>
      <c r="D88" s="204"/>
      <c r="E88" s="252"/>
      <c r="F88" s="253"/>
      <c r="G88" s="205"/>
      <c r="H88" s="206"/>
      <c r="I88" s="207"/>
      <c r="J88" s="76"/>
    </row>
    <row r="89" spans="1:10" x14ac:dyDescent="0.2">
      <c r="A89" s="76"/>
      <c r="B89" s="76"/>
      <c r="C89" s="308"/>
      <c r="D89" s="204"/>
      <c r="E89" s="252"/>
      <c r="F89" s="253"/>
      <c r="G89" s="205"/>
      <c r="H89" s="206"/>
      <c r="I89" s="207"/>
      <c r="J89" s="76"/>
    </row>
    <row r="90" spans="1:10" x14ac:dyDescent="0.2">
      <c r="A90" s="76"/>
      <c r="B90" s="76"/>
      <c r="C90" s="308"/>
      <c r="D90" s="204"/>
      <c r="E90" s="252"/>
      <c r="F90" s="253"/>
      <c r="G90" s="205"/>
      <c r="H90" s="206"/>
      <c r="I90" s="207"/>
      <c r="J90" s="76"/>
    </row>
    <row r="91" spans="1:10" x14ac:dyDescent="0.2">
      <c r="A91" s="76"/>
      <c r="B91" s="76"/>
      <c r="C91" s="308"/>
      <c r="D91" s="204"/>
      <c r="E91" s="252"/>
      <c r="F91" s="253"/>
      <c r="G91" s="205"/>
      <c r="H91" s="206"/>
      <c r="I91" s="207"/>
      <c r="J91" s="76"/>
    </row>
    <row r="92" spans="1:10" x14ac:dyDescent="0.2">
      <c r="A92" s="76"/>
      <c r="B92" s="76"/>
      <c r="C92" s="308"/>
      <c r="D92" s="204"/>
      <c r="E92" s="252"/>
      <c r="F92" s="253"/>
      <c r="G92" s="205"/>
      <c r="H92" s="206"/>
      <c r="I92" s="207"/>
      <c r="J92" s="76"/>
    </row>
    <row r="93" spans="1:10" x14ac:dyDescent="0.2">
      <c r="A93" s="76"/>
      <c r="B93" s="76"/>
      <c r="C93" s="308"/>
      <c r="D93" s="204"/>
      <c r="E93" s="252"/>
      <c r="F93" s="253"/>
      <c r="G93" s="205"/>
      <c r="H93" s="206"/>
      <c r="I93" s="207"/>
      <c r="J93" s="76"/>
    </row>
    <row r="94" spans="1:10" x14ac:dyDescent="0.2">
      <c r="A94" s="76"/>
      <c r="B94" s="76"/>
      <c r="C94" s="308"/>
      <c r="D94" s="204"/>
      <c r="E94" s="252"/>
      <c r="F94" s="253"/>
      <c r="G94" s="205"/>
      <c r="H94" s="206"/>
      <c r="I94" s="207"/>
      <c r="J94" s="76"/>
    </row>
    <row r="95" spans="1:10" x14ac:dyDescent="0.2">
      <c r="A95" s="76"/>
      <c r="B95" s="76"/>
      <c r="C95" s="308"/>
      <c r="D95" s="204"/>
      <c r="E95" s="252"/>
      <c r="F95" s="253"/>
      <c r="G95" s="205"/>
      <c r="H95" s="206"/>
      <c r="I95" s="207"/>
      <c r="J95" s="76"/>
    </row>
    <row r="96" spans="1:10" x14ac:dyDescent="0.2">
      <c r="A96" s="76"/>
      <c r="B96" s="76"/>
      <c r="C96" s="308"/>
      <c r="D96" s="204"/>
      <c r="E96" s="252"/>
      <c r="F96" s="253"/>
      <c r="G96" s="205"/>
      <c r="H96" s="206"/>
      <c r="I96" s="207"/>
      <c r="J96" s="76"/>
    </row>
    <row r="97" spans="1:17" s="76" customFormat="1" x14ac:dyDescent="0.2">
      <c r="C97" s="308"/>
      <c r="D97" s="204"/>
      <c r="E97" s="252"/>
      <c r="F97" s="253"/>
      <c r="G97" s="205"/>
      <c r="H97" s="206"/>
      <c r="I97" s="207"/>
    </row>
    <row r="98" spans="1:17" s="374" customFormat="1" ht="18" x14ac:dyDescent="0.25">
      <c r="A98" s="375" t="s">
        <v>249</v>
      </c>
      <c r="B98" s="375"/>
      <c r="C98" s="376"/>
      <c r="D98" s="377"/>
      <c r="E98" s="377"/>
      <c r="F98" s="377"/>
      <c r="G98" s="377"/>
      <c r="H98" s="377"/>
      <c r="I98" s="377"/>
      <c r="J98" s="377"/>
      <c r="K98" s="377"/>
      <c r="L98" s="377"/>
      <c r="M98" s="377"/>
      <c r="N98" s="377"/>
      <c r="O98" s="377"/>
      <c r="P98" s="377"/>
      <c r="Q98" s="377"/>
    </row>
    <row r="99" spans="1:17" s="60" customFormat="1" x14ac:dyDescent="0.2">
      <c r="C99" s="292"/>
    </row>
    <row r="100" spans="1:17" x14ac:dyDescent="0.2">
      <c r="A100" s="129"/>
      <c r="B100" s="129"/>
      <c r="C100" s="321" t="s">
        <v>95</v>
      </c>
      <c r="D100" s="130" t="s">
        <v>96</v>
      </c>
      <c r="E100" s="130" t="s">
        <v>97</v>
      </c>
      <c r="F100" s="130" t="s">
        <v>98</v>
      </c>
      <c r="G100" s="130" t="s">
        <v>99</v>
      </c>
      <c r="H100" s="130" t="s">
        <v>100</v>
      </c>
      <c r="I100" s="130" t="s">
        <v>101</v>
      </c>
      <c r="J100" s="130" t="s">
        <v>102</v>
      </c>
      <c r="K100" s="130" t="s">
        <v>103</v>
      </c>
      <c r="L100" s="130" t="s">
        <v>104</v>
      </c>
      <c r="M100" s="130" t="s">
        <v>105</v>
      </c>
      <c r="N100" s="130" t="s">
        <v>106</v>
      </c>
      <c r="O100" s="130" t="s">
        <v>107</v>
      </c>
      <c r="P100" s="130" t="s">
        <v>108</v>
      </c>
      <c r="Q100" s="130" t="s">
        <v>109</v>
      </c>
    </row>
    <row r="101" spans="1:17" x14ac:dyDescent="0.2">
      <c r="A101" s="131" t="s">
        <v>94</v>
      </c>
      <c r="B101" s="131"/>
      <c r="C101" s="322"/>
      <c r="D101" s="260"/>
      <c r="E101" s="260"/>
      <c r="F101" s="260"/>
      <c r="G101" s="260"/>
      <c r="H101" s="260"/>
      <c r="I101" s="260"/>
      <c r="J101" s="260"/>
      <c r="K101" s="260"/>
      <c r="L101" s="260"/>
      <c r="M101" s="260"/>
      <c r="N101" s="260"/>
      <c r="O101" s="260"/>
      <c r="P101" s="260"/>
      <c r="Q101" s="260"/>
    </row>
    <row r="102" spans="1:17" x14ac:dyDescent="0.2">
      <c r="A102" s="132" t="s">
        <v>10</v>
      </c>
      <c r="B102" s="132"/>
      <c r="C102" s="323">
        <f>'Input Property 5'!B3+(('Input Property 5'!B3*'Input Property 5'!B52)*('Data Property 5'!C162/365))</f>
        <v>163050.95890410958</v>
      </c>
      <c r="D102" s="261">
        <f>C102+((C102*'Input Property 5'!C52)*('Data Property 5'!D162/('Data Property 5'!D161-'Data Property 5'!C161)))</f>
        <v>169572.99726027396</v>
      </c>
      <c r="E102" s="261">
        <f>D102+((D102*'Input Property 5'!D52)*('Data Property 5'!E162/('Data Property 5'!E161-'Data Property 5'!D161)))</f>
        <v>176355.91715068492</v>
      </c>
      <c r="F102" s="261">
        <f>E102+((E102*'Input Property 5'!E52)*('Data Property 5'!F162/('Data Property 5'!F161-'Data Property 5'!E161)))</f>
        <v>183410.15383671233</v>
      </c>
      <c r="G102" s="261">
        <f>F102+((F102*'Input Property 5'!F52)*('Data Property 5'!G162/('Data Property 5'!G161-'Data Property 5'!F161)))</f>
        <v>190746.55999018083</v>
      </c>
      <c r="H102" s="261">
        <f>G102+((G102*'Input Property 5'!G52)*('Data Property 5'!H162/('Data Property 5'!H161-'Data Property 5'!G161)))</f>
        <v>198376.42238978806</v>
      </c>
      <c r="I102" s="261">
        <f>H102+((H102*'Input Property 5'!H52)*('Data Property 5'!I162/('Data Property 5'!I161-'Data Property 5'!H161)))</f>
        <v>206311.47928537958</v>
      </c>
      <c r="J102" s="261">
        <f>I102+((I102*'Input Property 5'!I52)*('Data Property 5'!J162/('Data Property 5'!J161-'Data Property 5'!I161)))</f>
        <v>214563.93845679477</v>
      </c>
      <c r="K102" s="261">
        <f>J102+((J102*'Input Property 5'!J52)*('Data Property 5'!K162/('Data Property 5'!K161-'Data Property 5'!J161)))</f>
        <v>223146.49599506657</v>
      </c>
      <c r="L102" s="261">
        <f>K102+((K102*'Input Property 5'!K52)*('Data Property 5'!L162/('Data Property 5'!L161-'Data Property 5'!K161)))</f>
        <v>232072.35583486923</v>
      </c>
      <c r="M102" s="261">
        <f>L102+((L102*'Input Property 5'!L52)*('Data Property 5'!M162/('Data Property 5'!M161-'Data Property 5'!L161)))</f>
        <v>241355.25006826399</v>
      </c>
      <c r="N102" s="261">
        <f>M102+((M102*'Input Property 5'!M52)*('Data Property 5'!N162/('Data Property 5'!N161-'Data Property 5'!M161)))</f>
        <v>251009.46007099457</v>
      </c>
      <c r="O102" s="261">
        <f>N102+((N102*'Input Property 5'!N52)*('Data Property 5'!O162/('Data Property 5'!O161-'Data Property 5'!N161)))</f>
        <v>261049.83847383436</v>
      </c>
      <c r="P102" s="261">
        <f>O102+((O102*'Input Property 5'!O52)*('Data Property 5'!P162/('Data Property 5'!P161-'Data Property 5'!O161)))</f>
        <v>271491.83201278775</v>
      </c>
      <c r="Q102" s="261">
        <f>P102+((P102*'Input Property 5'!P52)*('Data Property 5'!Q162/('Data Property 5'!Q161-'Data Property 5'!P161)))</f>
        <v>282351.50529329927</v>
      </c>
    </row>
    <row r="103" spans="1:17" x14ac:dyDescent="0.2">
      <c r="A103" s="132" t="s">
        <v>39</v>
      </c>
      <c r="B103" s="132"/>
      <c r="C103" s="323">
        <f>'Input Property 5'!B14</f>
        <v>146160</v>
      </c>
      <c r="D103" s="261">
        <f>IF('Input Property 5'!$B$33&gt;'Data Property 5'!C161,C103,0)</f>
        <v>146160</v>
      </c>
      <c r="E103" s="261">
        <f>IF('Input Property 5'!$B$33&gt;'Data Property 5'!D161,D103,0)</f>
        <v>146160</v>
      </c>
      <c r="F103" s="261">
        <f>IF('Input Property 5'!$B$33&gt;'Data Property 5'!E161,E103,0)</f>
        <v>146160</v>
      </c>
      <c r="G103" s="261">
        <f>IF('Input Property 5'!$B$33&gt;'Data Property 5'!F161,F103,0)</f>
        <v>146160</v>
      </c>
      <c r="H103" s="261">
        <f>IF('Input Property 5'!$B$33&gt;'Data Property 5'!G161,G103,0)</f>
        <v>146160</v>
      </c>
      <c r="I103" s="261">
        <f>IF('Input Property 5'!$B$33&gt;'Data Property 5'!H161,H103,0)</f>
        <v>146160</v>
      </c>
      <c r="J103" s="261">
        <f>IF('Input Property 5'!$B$33&gt;'Data Property 5'!I161,I103,0)</f>
        <v>146160</v>
      </c>
      <c r="K103" s="261">
        <f>IF('Input Property 5'!$B$33&gt;'Data Property 5'!J161,J103,0)</f>
        <v>146160</v>
      </c>
      <c r="L103" s="261">
        <f t="shared" ref="L103:Q103" si="22">K103</f>
        <v>146160</v>
      </c>
      <c r="M103" s="261">
        <f t="shared" si="22"/>
        <v>146160</v>
      </c>
      <c r="N103" s="261">
        <f t="shared" si="22"/>
        <v>146160</v>
      </c>
      <c r="O103" s="261">
        <f t="shared" si="22"/>
        <v>146160</v>
      </c>
      <c r="P103" s="261">
        <f t="shared" si="22"/>
        <v>146160</v>
      </c>
      <c r="Q103" s="261">
        <f t="shared" si="22"/>
        <v>146160</v>
      </c>
    </row>
    <row r="104" spans="1:17" x14ac:dyDescent="0.2">
      <c r="A104" s="248" t="s">
        <v>11</v>
      </c>
      <c r="B104" s="248"/>
      <c r="C104" s="323">
        <f>'Input Property 5'!$B$4</f>
        <v>35000</v>
      </c>
      <c r="D104" s="261">
        <f>'Input Property 5'!$B$4</f>
        <v>35000</v>
      </c>
      <c r="E104" s="261">
        <f>'Input Property 5'!$B$4</f>
        <v>35000</v>
      </c>
      <c r="F104" s="261">
        <f>'Input Property 5'!$B$4</f>
        <v>35000</v>
      </c>
      <c r="G104" s="261">
        <f>'Input Property 5'!$B$4</f>
        <v>35000</v>
      </c>
      <c r="H104" s="261">
        <f>'Input Property 5'!$B$4</f>
        <v>35000</v>
      </c>
      <c r="I104" s="261">
        <f>'Input Property 5'!$B$4</f>
        <v>35000</v>
      </c>
      <c r="J104" s="261">
        <f>'Input Property 5'!$B$4</f>
        <v>35000</v>
      </c>
      <c r="K104" s="261">
        <f>'Input Property 5'!$B$4</f>
        <v>35000</v>
      </c>
      <c r="L104" s="261">
        <f>'Input Property 5'!$B$4</f>
        <v>35000</v>
      </c>
      <c r="M104" s="261">
        <f>'Input Property 5'!$B$4</f>
        <v>35000</v>
      </c>
      <c r="N104" s="261">
        <f>'Input Property 5'!$B$4</f>
        <v>35000</v>
      </c>
      <c r="O104" s="261">
        <f>'Input Property 5'!$B$4</f>
        <v>35000</v>
      </c>
      <c r="P104" s="261">
        <f>'Input Property 5'!$B$4</f>
        <v>35000</v>
      </c>
      <c r="Q104" s="261">
        <f>'Input Property 5'!$B$4</f>
        <v>35000</v>
      </c>
    </row>
    <row r="105" spans="1:17" x14ac:dyDescent="0.2">
      <c r="A105" s="132" t="s">
        <v>84</v>
      </c>
      <c r="B105" s="132"/>
      <c r="C105" s="324">
        <f t="shared" ref="C105:Q105" si="23">C103/C102</f>
        <v>0.89640687170663524</v>
      </c>
      <c r="D105" s="262">
        <f t="shared" si="23"/>
        <v>0.86192968433330308</v>
      </c>
      <c r="E105" s="262">
        <f t="shared" si="23"/>
        <v>0.82877854262817596</v>
      </c>
      <c r="F105" s="262">
        <f t="shared" si="23"/>
        <v>0.79690244483478456</v>
      </c>
      <c r="G105" s="262">
        <f t="shared" si="23"/>
        <v>0.7662523508026774</v>
      </c>
      <c r="H105" s="262">
        <f t="shared" si="23"/>
        <v>0.73678110654103601</v>
      </c>
      <c r="I105" s="262">
        <f t="shared" si="23"/>
        <v>0.70844337167407312</v>
      </c>
      <c r="J105" s="262">
        <f t="shared" si="23"/>
        <v>0.68119554968660878</v>
      </c>
      <c r="K105" s="262">
        <f t="shared" si="23"/>
        <v>0.65499572085250835</v>
      </c>
      <c r="L105" s="262">
        <f t="shared" si="23"/>
        <v>0.62980357774279649</v>
      </c>
      <c r="M105" s="262">
        <f t="shared" si="23"/>
        <v>0.60558036321422748</v>
      </c>
      <c r="N105" s="262">
        <f t="shared" si="23"/>
        <v>0.58228881078291095</v>
      </c>
      <c r="O105" s="262">
        <f t="shared" si="23"/>
        <v>0.55989308729126053</v>
      </c>
      <c r="P105" s="262">
        <f t="shared" si="23"/>
        <v>0.53835873778005816</v>
      </c>
      <c r="Q105" s="262">
        <f t="shared" si="23"/>
        <v>0.51765263248082516</v>
      </c>
    </row>
    <row r="106" spans="1:17" x14ac:dyDescent="0.2">
      <c r="A106" s="132" t="s">
        <v>110</v>
      </c>
      <c r="B106" s="132"/>
      <c r="C106" s="325">
        <f t="shared" ref="C106:Q106" si="24">C102-C103</f>
        <v>16890.958904109575</v>
      </c>
      <c r="D106" s="263">
        <f t="shared" si="24"/>
        <v>23412.997260273958</v>
      </c>
      <c r="E106" s="263">
        <f t="shared" si="24"/>
        <v>30195.917150684923</v>
      </c>
      <c r="F106" s="263">
        <f t="shared" si="24"/>
        <v>37250.153836712328</v>
      </c>
      <c r="G106" s="263">
        <f t="shared" si="24"/>
        <v>44586.559990180831</v>
      </c>
      <c r="H106" s="263">
        <f t="shared" si="24"/>
        <v>52216.422389788058</v>
      </c>
      <c r="I106" s="263">
        <f t="shared" si="24"/>
        <v>60151.479285379581</v>
      </c>
      <c r="J106" s="263">
        <f t="shared" si="24"/>
        <v>68403.938456794771</v>
      </c>
      <c r="K106" s="263">
        <f t="shared" si="24"/>
        <v>76986.495995066565</v>
      </c>
      <c r="L106" s="263">
        <f t="shared" si="24"/>
        <v>85912.355834869231</v>
      </c>
      <c r="M106" s="263">
        <f t="shared" si="24"/>
        <v>95195.250068263995</v>
      </c>
      <c r="N106" s="263">
        <f t="shared" si="24"/>
        <v>104849.46007099457</v>
      </c>
      <c r="O106" s="263">
        <f t="shared" si="24"/>
        <v>114889.83847383436</v>
      </c>
      <c r="P106" s="263">
        <f t="shared" si="24"/>
        <v>125331.83201278775</v>
      </c>
      <c r="Q106" s="263">
        <f t="shared" si="24"/>
        <v>136191.50529329927</v>
      </c>
    </row>
    <row r="107" spans="1:17" ht="22.5" x14ac:dyDescent="0.2">
      <c r="A107" s="133" t="s">
        <v>111</v>
      </c>
      <c r="B107" s="133"/>
      <c r="C107" s="325">
        <f>(C102*'Input Property 5'!B56)-C103</f>
        <v>585.86301369863213</v>
      </c>
      <c r="D107" s="263">
        <f>(D102*'Input Property 5'!C56)-D103</f>
        <v>6455.6975342465739</v>
      </c>
      <c r="E107" s="263">
        <f>(E102*'Input Property 5'!D56)-E103</f>
        <v>12560.325435616425</v>
      </c>
      <c r="F107" s="263">
        <f>(F102*'Input Property 5'!E56)-F103</f>
        <v>18909.138453041087</v>
      </c>
      <c r="G107" s="263">
        <f>(G102*'Input Property 5'!F56)-G103</f>
        <v>25511.903991162748</v>
      </c>
      <c r="H107" s="263">
        <f>(H102*'Input Property 5'!G56)-H103</f>
        <v>32378.780150809267</v>
      </c>
      <c r="I107" s="263">
        <f>(I102*'Input Property 5'!H56)-I103</f>
        <v>39520.331356841634</v>
      </c>
      <c r="J107" s="263">
        <f>(J102*'Input Property 5'!I56)-J103</f>
        <v>46947.5446111153</v>
      </c>
      <c r="K107" s="263">
        <f>(K102*'Input Property 5'!J56)-K103</f>
        <v>54671.8463955599</v>
      </c>
      <c r="L107" s="263">
        <f>(L102*'Input Property 5'!K56)-L103</f>
        <v>62705.120251382323</v>
      </c>
      <c r="M107" s="263">
        <f>(M102*'Input Property 5'!L56)-M103</f>
        <v>71059.72506143761</v>
      </c>
      <c r="N107" s="263">
        <f>(N102*'Input Property 5'!M56)-N103</f>
        <v>79748.514063895127</v>
      </c>
      <c r="O107" s="263">
        <f>(O102*'Input Property 5'!N56)-O103</f>
        <v>88784.85462645092</v>
      </c>
      <c r="P107" s="263">
        <f>(P102*'Input Property 5'!O56)-P103</f>
        <v>98182.648811508989</v>
      </c>
      <c r="Q107" s="263">
        <f>(Q102*'Input Property 5'!P56)-Q103</f>
        <v>107956.35476396934</v>
      </c>
    </row>
    <row r="108" spans="1:17" x14ac:dyDescent="0.2">
      <c r="A108" s="134" t="s">
        <v>208</v>
      </c>
      <c r="B108" s="134"/>
      <c r="C108" s="326">
        <f>C102-C103</f>
        <v>16890.958904109575</v>
      </c>
      <c r="D108" s="264">
        <f t="shared" ref="D108:Q108" si="25">IF(D102=0,0,D102-C102)</f>
        <v>6522.038356164383</v>
      </c>
      <c r="E108" s="264">
        <f t="shared" si="25"/>
        <v>6782.9198904109653</v>
      </c>
      <c r="F108" s="264">
        <f t="shared" si="25"/>
        <v>7054.2366860274051</v>
      </c>
      <c r="G108" s="264">
        <f t="shared" si="25"/>
        <v>7336.4061534685025</v>
      </c>
      <c r="H108" s="264">
        <f t="shared" si="25"/>
        <v>7629.8623996072274</v>
      </c>
      <c r="I108" s="264">
        <f t="shared" si="25"/>
        <v>7935.0568955915223</v>
      </c>
      <c r="J108" s="264">
        <f t="shared" si="25"/>
        <v>8252.4591714151902</v>
      </c>
      <c r="K108" s="264">
        <f t="shared" si="25"/>
        <v>8582.5575382717943</v>
      </c>
      <c r="L108" s="264">
        <f t="shared" si="25"/>
        <v>8925.8598398026661</v>
      </c>
      <c r="M108" s="264">
        <f t="shared" si="25"/>
        <v>9282.8942333947634</v>
      </c>
      <c r="N108" s="264">
        <f t="shared" si="25"/>
        <v>9654.2100027305714</v>
      </c>
      <c r="O108" s="264">
        <f t="shared" si="25"/>
        <v>10040.378402839793</v>
      </c>
      <c r="P108" s="264">
        <f t="shared" si="25"/>
        <v>10441.993538953393</v>
      </c>
      <c r="Q108" s="264">
        <f t="shared" si="25"/>
        <v>10859.673280511517</v>
      </c>
    </row>
    <row r="109" spans="1:17" x14ac:dyDescent="0.2">
      <c r="A109" s="129"/>
      <c r="B109" s="129"/>
      <c r="C109" s="322"/>
      <c r="D109" s="260"/>
      <c r="E109" s="260"/>
      <c r="F109" s="260"/>
      <c r="G109" s="260"/>
      <c r="H109" s="260"/>
      <c r="I109" s="260"/>
      <c r="J109" s="260"/>
      <c r="K109" s="260"/>
      <c r="L109" s="260"/>
      <c r="M109" s="260"/>
      <c r="N109" s="260"/>
      <c r="O109" s="260"/>
      <c r="P109" s="260"/>
      <c r="Q109" s="260"/>
    </row>
    <row r="110" spans="1:17" x14ac:dyDescent="0.2">
      <c r="A110" s="132" t="s">
        <v>122</v>
      </c>
      <c r="B110" s="132"/>
      <c r="C110" s="327">
        <f>'Data Property 5'!C165</f>
        <v>5257.1428571428569</v>
      </c>
      <c r="D110" s="265">
        <f>'Data Property 5'!D165</f>
        <v>11970.514285714286</v>
      </c>
      <c r="E110" s="265">
        <f>'Data Property 5'!E165</f>
        <v>12354.284892857142</v>
      </c>
      <c r="F110" s="265">
        <f>'Data Property 5'!F165</f>
        <v>12786.684864107141</v>
      </c>
      <c r="G110" s="265">
        <f>'Data Property 5'!G165</f>
        <v>13234.21883435089</v>
      </c>
      <c r="H110" s="265">
        <f>'Data Property 5'!H165</f>
        <v>13736.440472167282</v>
      </c>
      <c r="I110" s="265">
        <f>'Data Property 5'!I165</f>
        <v>14176.826070827528</v>
      </c>
      <c r="J110" s="265">
        <f>'Data Property 5'!J165</f>
        <v>14673.014983306492</v>
      </c>
      <c r="K110" s="265">
        <f>'Data Property 5'!K165</f>
        <v>15186.570507722219</v>
      </c>
      <c r="L110" s="265">
        <f>'Data Property 5'!L165</f>
        <v>15762.881388528087</v>
      </c>
      <c r="M110" s="265">
        <f>'Data Property 5'!M165</f>
        <v>16268.233992134732</v>
      </c>
      <c r="N110" s="265">
        <f>'Data Property 5'!N165</f>
        <v>16837.622181859446</v>
      </c>
      <c r="O110" s="265">
        <f>'Data Property 5'!O165</f>
        <v>17426.938958224528</v>
      </c>
      <c r="P110" s="265">
        <f>'Data Property 5'!P165</f>
        <v>18088.268949459711</v>
      </c>
      <c r="Q110" s="265">
        <f>'Data Property 5'!Q165</f>
        <v>18668.172685524067</v>
      </c>
    </row>
    <row r="111" spans="1:17" x14ac:dyDescent="0.2">
      <c r="A111" s="134" t="s">
        <v>210</v>
      </c>
      <c r="B111" s="134"/>
      <c r="C111" s="328">
        <f t="shared" ref="C111:Q111" si="26">C80</f>
        <v>6.0403760826650103E-2</v>
      </c>
      <c r="D111" s="266">
        <f t="shared" si="26"/>
        <v>6.5566710224649646E-2</v>
      </c>
      <c r="E111" s="266">
        <f t="shared" si="26"/>
        <v>6.7668756602164329E-2</v>
      </c>
      <c r="F111" s="266">
        <f t="shared" si="26"/>
        <v>7.0037163083240081E-2</v>
      </c>
      <c r="G111" s="266">
        <f t="shared" si="26"/>
        <v>7.2488463791153479E-2</v>
      </c>
      <c r="H111" s="266">
        <f t="shared" si="26"/>
        <v>7.5239308058099807E-2</v>
      </c>
      <c r="I111" s="266">
        <f t="shared" si="26"/>
        <v>7.7651454624678359E-2</v>
      </c>
      <c r="J111" s="266">
        <f t="shared" si="26"/>
        <v>8.0369255536542103E-2</v>
      </c>
      <c r="K111" s="266">
        <f t="shared" si="26"/>
        <v>8.3182179480321083E-2</v>
      </c>
      <c r="L111" s="266">
        <f t="shared" si="26"/>
        <v>8.6338836547779407E-2</v>
      </c>
      <c r="M111" s="266">
        <f t="shared" si="26"/>
        <v>8.9106830213806928E-2</v>
      </c>
      <c r="N111" s="266">
        <f t="shared" si="26"/>
        <v>9.2225569271290164E-2</v>
      </c>
      <c r="O111" s="266">
        <f t="shared" si="26"/>
        <v>9.5453464195785334E-2</v>
      </c>
      <c r="P111" s="266">
        <f t="shared" si="26"/>
        <v>9.9075800785779211E-2</v>
      </c>
      <c r="Q111" s="266">
        <f t="shared" si="26"/>
        <v>0.10225213718313013</v>
      </c>
    </row>
    <row r="112" spans="1:17" x14ac:dyDescent="0.2">
      <c r="A112" s="129" t="str">
        <f>'Data Property 5'!A193</f>
        <v>Property Expenses</v>
      </c>
      <c r="B112" s="129"/>
      <c r="C112" s="327">
        <f>'Data Property 5'!C186</f>
        <v>2595.3837573385522</v>
      </c>
      <c r="D112" s="265">
        <f>'Data Property 5'!D186</f>
        <v>5269.8098928571426</v>
      </c>
      <c r="E112" s="265">
        <f>'Data Property 5'!E186</f>
        <v>5410.6962601785717</v>
      </c>
      <c r="F112" s="265">
        <f>'Data Property 5'!F186</f>
        <v>5558.3109120973213</v>
      </c>
      <c r="G112" s="265">
        <f>'Data Property 5'!G186</f>
        <v>5710.0480839035399</v>
      </c>
      <c r="H112" s="265">
        <f>'Data Property 5'!H186</f>
        <v>5869.1478822591744</v>
      </c>
      <c r="I112" s="265">
        <f>'Data Property 5'!I186</f>
        <v>6026.3662247671273</v>
      </c>
      <c r="J112" s="265">
        <f>'Data Property 5'!J186</f>
        <v>6191.1941284935592</v>
      </c>
      <c r="K112" s="265">
        <f>'Data Property 5'!K186</f>
        <v>6360.6386359969065</v>
      </c>
      <c r="L112" s="265">
        <f>'Data Property 5'!L186</f>
        <v>6538.414992130869</v>
      </c>
      <c r="M112" s="265">
        <f>'Data Property 5'!M186</f>
        <v>6713.9124763581076</v>
      </c>
      <c r="N112" s="265">
        <f>'Data Property 5'!N186</f>
        <v>6898.0192526101964</v>
      </c>
      <c r="O112" s="265">
        <f>'Data Property 5'!O186</f>
        <v>7087.2977620205975</v>
      </c>
      <c r="P112" s="265">
        <f>'Data Property 5'!P186</f>
        <v>7286.0081853653746</v>
      </c>
      <c r="Q112" s="265">
        <f>'Data Property 5'!Q186</f>
        <v>7481.9712499245488</v>
      </c>
    </row>
    <row r="113" spans="1:17" x14ac:dyDescent="0.2">
      <c r="A113" s="129" t="str">
        <f>'Data Property 5'!A194</f>
        <v>Total Cash Deductions</v>
      </c>
      <c r="B113" s="360"/>
      <c r="C113" s="327">
        <f>'Data Property 5'!C187</f>
        <v>6146.4138943248536</v>
      </c>
      <c r="D113" s="265">
        <f>'Data Property 5'!D187</f>
        <v>12739.218112035225</v>
      </c>
      <c r="E113" s="265">
        <f>'Data Property 5'!E187</f>
        <v>12859.696260178571</v>
      </c>
      <c r="F113" s="265">
        <f>'Data Property 5'!F187</f>
        <v>13007.31091209732</v>
      </c>
      <c r="G113" s="265">
        <f>'Data Property 5'!G187</f>
        <v>13159.048083903541</v>
      </c>
      <c r="H113" s="265">
        <f>'Data Property 5'!H187</f>
        <v>13338.556101437258</v>
      </c>
      <c r="I113" s="265">
        <f>'Data Property 5'!I187</f>
        <v>13475.366224767127</v>
      </c>
      <c r="J113" s="265">
        <f>'Data Property 5'!J187</f>
        <v>13640.19412849356</v>
      </c>
      <c r="K113" s="265">
        <f>'Data Property 5'!K187</f>
        <v>13809.638635996907</v>
      </c>
      <c r="L113" s="265">
        <f>'Data Property 5'!L187</f>
        <v>14007.823211308951</v>
      </c>
      <c r="M113" s="265">
        <f>'Data Property 5'!M187</f>
        <v>14162.912476358108</v>
      </c>
      <c r="N113" s="265">
        <f>'Data Property 5'!N187</f>
        <v>14347.019252610196</v>
      </c>
      <c r="O113" s="265">
        <f>'Data Property 5'!O187</f>
        <v>14536.297762020597</v>
      </c>
      <c r="P113" s="265">
        <f>'Data Property 5'!P187</f>
        <v>14755.416404543457</v>
      </c>
      <c r="Q113" s="265">
        <f>'Data Property 5'!Q187</f>
        <v>14930.971249924549</v>
      </c>
    </row>
    <row r="114" spans="1:17" x14ac:dyDescent="0.2">
      <c r="A114" s="129"/>
      <c r="B114" s="361"/>
      <c r="C114" s="329"/>
      <c r="D114" s="267"/>
      <c r="E114" s="267"/>
      <c r="F114" s="267"/>
      <c r="G114" s="267"/>
      <c r="H114" s="267"/>
      <c r="I114" s="267"/>
      <c r="J114" s="267"/>
      <c r="K114" s="267"/>
      <c r="L114" s="267"/>
      <c r="M114" s="267"/>
      <c r="N114" s="267"/>
      <c r="O114" s="267"/>
      <c r="P114" s="267"/>
      <c r="Q114" s="267"/>
    </row>
    <row r="115" spans="1:17" x14ac:dyDescent="0.2">
      <c r="A115" s="129" t="str">
        <f>'Data Property 5'!A188</f>
        <v>Pre-Tax Cash Flow</v>
      </c>
      <c r="B115" s="362"/>
      <c r="C115" s="330">
        <f>'Data Property 5'!C189</f>
        <v>-889.27103718199669</v>
      </c>
      <c r="D115" s="268">
        <f>'Data Property 5'!D189</f>
        <v>-768.7038263209397</v>
      </c>
      <c r="E115" s="268">
        <f>'Data Property 5'!E189</f>
        <v>-505.41136732142877</v>
      </c>
      <c r="F115" s="268">
        <f>'Data Property 5'!F189</f>
        <v>-220.62604799017936</v>
      </c>
      <c r="G115" s="268">
        <f>'Data Property 5'!G189</f>
        <v>75.170750447348837</v>
      </c>
      <c r="H115" s="268">
        <f>'Data Property 5'!H189</f>
        <v>397.88437073002387</v>
      </c>
      <c r="I115" s="268">
        <f>'Data Property 5'!I189</f>
        <v>701.45984606040111</v>
      </c>
      <c r="J115" s="268">
        <f>'Data Property 5'!J189</f>
        <v>1032.8208548129314</v>
      </c>
      <c r="K115" s="268">
        <f>'Data Property 5'!K189</f>
        <v>1376.9318717253118</v>
      </c>
      <c r="L115" s="268">
        <f>'Data Property 5'!L189</f>
        <v>1755.0581772191363</v>
      </c>
      <c r="M115" s="268">
        <f>'Data Property 5'!M189</f>
        <v>2105.3215157766244</v>
      </c>
      <c r="N115" s="268">
        <f>'Data Property 5'!N189</f>
        <v>2490.6029292492494</v>
      </c>
      <c r="O115" s="268">
        <f>'Data Property 5'!O189</f>
        <v>2890.641196203931</v>
      </c>
      <c r="P115" s="268">
        <f>'Data Property 5'!P189</f>
        <v>3332.8525449162535</v>
      </c>
      <c r="Q115" s="268">
        <f>'Data Property 5'!Q189</f>
        <v>3737.2014355995179</v>
      </c>
    </row>
    <row r="116" spans="1:17" x14ac:dyDescent="0.2">
      <c r="A116" s="135" t="str">
        <f>'Data Property 5'!A202</f>
        <v>Net Income</v>
      </c>
      <c r="B116" s="363"/>
      <c r="C116" s="327">
        <f>'Data Property 5'!C202</f>
        <v>-2751.2710371819967</v>
      </c>
      <c r="D116" s="265">
        <f>'Data Property 5'!D202</f>
        <v>-2180.7038263209397</v>
      </c>
      <c r="E116" s="265">
        <f>'Data Property 5'!E202</f>
        <v>-1602.4113673214288</v>
      </c>
      <c r="F116" s="265">
        <f>'Data Property 5'!F202</f>
        <v>-1097.1260479901794</v>
      </c>
      <c r="G116" s="265">
        <f>'Data Property 5'!G202</f>
        <v>-646.9792495526508</v>
      </c>
      <c r="H116" s="265">
        <f>'Data Property 5'!H202</f>
        <v>145.77937073002431</v>
      </c>
      <c r="I116" s="265">
        <f>'Data Property 5'!I202</f>
        <v>524.98634606040105</v>
      </c>
      <c r="J116" s="265">
        <f>'Data Property 5'!J202</f>
        <v>909.28940481293102</v>
      </c>
      <c r="K116" s="265">
        <f>'Data Property 5'!K202</f>
        <v>1290.4598567253124</v>
      </c>
      <c r="L116" s="265">
        <f>'Data Property 5'!L202</f>
        <v>1694.5277667191367</v>
      </c>
      <c r="M116" s="265">
        <f>'Data Property 5'!M202</f>
        <v>2062.9502284266237</v>
      </c>
      <c r="N116" s="265">
        <f>'Data Property 5'!N202</f>
        <v>2460.9430281042496</v>
      </c>
      <c r="O116" s="265">
        <f>'Data Property 5'!O202</f>
        <v>2869.879265402431</v>
      </c>
      <c r="P116" s="265">
        <f>'Data Property 5'!P202</f>
        <v>3318.3191933552043</v>
      </c>
      <c r="Q116" s="265">
        <f>'Data Property 5'!Q202</f>
        <v>3727.0280895067826</v>
      </c>
    </row>
    <row r="117" spans="1:17" x14ac:dyDescent="0.2">
      <c r="A117" s="135" t="s">
        <v>206</v>
      </c>
      <c r="B117" s="363"/>
      <c r="C117" s="327">
        <f>'Data Property 5'!C211</f>
        <v>1103.7463838160438</v>
      </c>
      <c r="D117" s="265">
        <f>'Data Property 5'!D211</f>
        <v>1235.6353692783814</v>
      </c>
      <c r="E117" s="265">
        <f>'Data Property 5'!E211</f>
        <v>1098.2692016348228</v>
      </c>
      <c r="F117" s="265">
        <f>'Data Property 5'!F211</f>
        <v>973.79744013735763</v>
      </c>
      <c r="G117" s="265">
        <f>'Data Property 5'!G211</f>
        <v>858.42693837360275</v>
      </c>
      <c r="H117" s="265">
        <f>'Data Property 5'!H211</f>
        <v>678.60041016228934</v>
      </c>
      <c r="I117" s="265">
        <f>'Data Property 5'!I211</f>
        <v>573.97177752386779</v>
      </c>
      <c r="J117" s="265">
        <f>'Data Property 5'!J211</f>
        <v>467.24569161160616</v>
      </c>
      <c r="K117" s="265">
        <f>'Data Property 5'!K211</f>
        <v>359.8359965171112</v>
      </c>
      <c r="L117" s="265">
        <f>'Data Property 5'!L211</f>
        <v>246.50659345001623</v>
      </c>
      <c r="M117" s="265">
        <f>'Data Property 5'!M211</f>
        <v>139.16951006620366</v>
      </c>
      <c r="N117" s="265">
        <f>'Data Property 5'!N211</f>
        <v>24.584241785189079</v>
      </c>
      <c r="O117" s="265">
        <f>'Data Property 5'!O211</f>
        <v>-93.476804640602495</v>
      </c>
      <c r="P117" s="265">
        <f>'Data Property 5'!P211</f>
        <v>-221.23083316526026</v>
      </c>
      <c r="Q117" s="265">
        <f>'Data Property 5'!Q211</f>
        <v>-341.42550314270193</v>
      </c>
    </row>
    <row r="118" spans="1:17" x14ac:dyDescent="0.2">
      <c r="A118" s="129" t="s">
        <v>207</v>
      </c>
      <c r="B118" s="361"/>
      <c r="C118" s="331">
        <f>'Data Property 5'!C220</f>
        <v>1103.7463838160475</v>
      </c>
      <c r="D118" s="269">
        <f>'Data Property 5'!D220</f>
        <v>1235.6353692783741</v>
      </c>
      <c r="E118" s="269">
        <f>'Data Property 5'!E220</f>
        <v>1098.2692016348228</v>
      </c>
      <c r="F118" s="269">
        <f>'Data Property 5'!F220</f>
        <v>973.79744013735399</v>
      </c>
      <c r="G118" s="269">
        <f>'Data Property 5'!G220</f>
        <v>858.42693837360275</v>
      </c>
      <c r="H118" s="269">
        <f>'Data Property 5'!H220</f>
        <v>678.60041016228206</v>
      </c>
      <c r="I118" s="269">
        <f>'Data Property 5'!I220</f>
        <v>573.97177752386415</v>
      </c>
      <c r="J118" s="269">
        <f>'Data Property 5'!J220</f>
        <v>467.24569161161344</v>
      </c>
      <c r="K118" s="269">
        <f>'Data Property 5'!K220</f>
        <v>359.83599651710756</v>
      </c>
      <c r="L118" s="269">
        <f>'Data Property 5'!L220</f>
        <v>246.50659345001623</v>
      </c>
      <c r="M118" s="269">
        <f>'Data Property 5'!M220</f>
        <v>139.16951006619638</v>
      </c>
      <c r="N118" s="269">
        <f>'Data Property 5'!N220</f>
        <v>24.584241785185441</v>
      </c>
      <c r="O118" s="269">
        <f>'Data Property 5'!O220</f>
        <v>-93.476804640602495</v>
      </c>
      <c r="P118" s="269">
        <f>'Data Property 5'!P220</f>
        <v>-221.23083316526754</v>
      </c>
      <c r="Q118" s="269">
        <f>'Data Property 5'!Q220</f>
        <v>-341.42550314270193</v>
      </c>
    </row>
    <row r="119" spans="1:17" ht="13.5" thickBot="1" x14ac:dyDescent="0.25">
      <c r="A119" s="131" t="str">
        <f>'Data Property 5'!A223</f>
        <v>After-tax Cash Flow</v>
      </c>
      <c r="B119" s="364"/>
      <c r="C119" s="332">
        <f>'Data Property 5'!C224</f>
        <v>1318.2217304500946</v>
      </c>
      <c r="D119" s="270">
        <f>'Data Property 5'!D224</f>
        <v>1702.5669122358158</v>
      </c>
      <c r="E119" s="270">
        <f>'Data Property 5'!E224</f>
        <v>1691.1270359482169</v>
      </c>
      <c r="F119" s="270">
        <f>'Data Property 5'!F224</f>
        <v>1726.9688322845323</v>
      </c>
      <c r="G119" s="270">
        <f>'Data Property 5'!G224</f>
        <v>1792.0246271945543</v>
      </c>
      <c r="H119" s="270">
        <f>'Data Property 5'!H224</f>
        <v>1755.0851910545953</v>
      </c>
      <c r="I119" s="270">
        <f>'Data Property 5'!I224</f>
        <v>1849.403401108133</v>
      </c>
      <c r="J119" s="270">
        <f>'Data Property 5'!J224</f>
        <v>1967.312238036151</v>
      </c>
      <c r="K119" s="270">
        <f>'Data Property 5'!K224</f>
        <v>2096.6038647595306</v>
      </c>
      <c r="L119" s="270">
        <f>'Data Property 5'!L224</f>
        <v>2248.0713641191687</v>
      </c>
      <c r="M119" s="270">
        <f>'Data Property 5'!M224</f>
        <v>2383.6605359090245</v>
      </c>
      <c r="N119" s="270">
        <f>'Data Property 5'!N224</f>
        <v>2539.7714128196239</v>
      </c>
      <c r="O119" s="270">
        <f>'Data Property 5'!O224</f>
        <v>2703.687586922726</v>
      </c>
      <c r="P119" s="270">
        <f>'Data Property 5'!P224</f>
        <v>2890.3908785857257</v>
      </c>
      <c r="Q119" s="270">
        <f>'Data Property 5'!Q224</f>
        <v>3054.3504293141141</v>
      </c>
    </row>
    <row r="120" spans="1:17" ht="13.5" thickTop="1" x14ac:dyDescent="0.2">
      <c r="A120" s="196" t="s">
        <v>246</v>
      </c>
      <c r="B120" s="365"/>
      <c r="C120" s="333">
        <f>C119</f>
        <v>1318.2217304500946</v>
      </c>
      <c r="D120" s="271">
        <f t="shared" ref="D120:Q120" si="27">C120+D119</f>
        <v>3020.7886426859104</v>
      </c>
      <c r="E120" s="271">
        <f t="shared" si="27"/>
        <v>4711.9156786341273</v>
      </c>
      <c r="F120" s="271">
        <f t="shared" si="27"/>
        <v>6438.8845109186595</v>
      </c>
      <c r="G120" s="271">
        <f t="shared" si="27"/>
        <v>8230.909138113213</v>
      </c>
      <c r="H120" s="271">
        <f t="shared" si="27"/>
        <v>9985.9943291678082</v>
      </c>
      <c r="I120" s="271">
        <f t="shared" si="27"/>
        <v>11835.397730275941</v>
      </c>
      <c r="J120" s="271">
        <f t="shared" si="27"/>
        <v>13802.709968312092</v>
      </c>
      <c r="K120" s="271">
        <f t="shared" si="27"/>
        <v>15899.313833071623</v>
      </c>
      <c r="L120" s="271">
        <f t="shared" si="27"/>
        <v>18147.385197190793</v>
      </c>
      <c r="M120" s="271">
        <f t="shared" si="27"/>
        <v>20531.045733099818</v>
      </c>
      <c r="N120" s="271">
        <f t="shared" si="27"/>
        <v>23070.817145919442</v>
      </c>
      <c r="O120" s="271">
        <f t="shared" si="27"/>
        <v>25774.504732842168</v>
      </c>
      <c r="P120" s="271">
        <f t="shared" si="27"/>
        <v>28664.895611427892</v>
      </c>
      <c r="Q120" s="271">
        <f t="shared" si="27"/>
        <v>31719.246040742008</v>
      </c>
    </row>
    <row r="121" spans="1:17" x14ac:dyDescent="0.2">
      <c r="A121" s="129"/>
      <c r="B121" s="281"/>
      <c r="C121" s="334"/>
      <c r="D121" s="272"/>
      <c r="E121" s="272"/>
      <c r="F121" s="272"/>
      <c r="G121" s="272"/>
      <c r="H121" s="272"/>
      <c r="I121" s="272"/>
      <c r="J121" s="272"/>
      <c r="K121" s="272"/>
      <c r="L121" s="272"/>
      <c r="M121" s="272"/>
      <c r="N121" s="272"/>
      <c r="O121" s="272"/>
      <c r="P121" s="272"/>
      <c r="Q121" s="272"/>
    </row>
    <row r="122" spans="1:17" x14ac:dyDescent="0.2">
      <c r="A122" s="131" t="s">
        <v>209</v>
      </c>
      <c r="B122" s="131"/>
      <c r="C122" s="335">
        <f>C119+C108-C104</f>
        <v>-16790.819365440329</v>
      </c>
      <c r="D122" s="273">
        <f>IF('Data Property 5'!C161&lt;'Input Property 5'!$B$33,D119+D108,0)</f>
        <v>8224.6052684001988</v>
      </c>
      <c r="E122" s="273">
        <f>IF('Data Property 5'!D161&lt;'Input Property 5'!$B$33,E119+E108,0)</f>
        <v>8474.0469263591822</v>
      </c>
      <c r="F122" s="273">
        <f>IF('Data Property 5'!E161&lt;'Input Property 5'!$B$33,F119+F108,0)</f>
        <v>8781.2055183119373</v>
      </c>
      <c r="G122" s="273">
        <f>IF('Data Property 5'!F161&lt;'Input Property 5'!$B$33,G119+G108,0)</f>
        <v>9128.4307806630568</v>
      </c>
      <c r="H122" s="273">
        <f>IF('Data Property 5'!G161&lt;'Input Property 5'!$B$33,H119+H108,0)</f>
        <v>9384.9475906618227</v>
      </c>
      <c r="I122" s="273">
        <f>IF('Data Property 5'!H161&lt;'Input Property 5'!$B$33,I119+I108,0)</f>
        <v>9784.4602966996554</v>
      </c>
      <c r="J122" s="273">
        <f>IF('Data Property 5'!I161&lt;'Input Property 5'!$B$33,J119+J108,0)</f>
        <v>10219.771409451341</v>
      </c>
      <c r="K122" s="273">
        <f>IF('Data Property 5'!J161&lt;'Input Property 5'!$B$33,K119+K108,0)</f>
        <v>10679.161403031325</v>
      </c>
      <c r="L122" s="273">
        <f>IF('Data Property 5'!K161&lt;'Input Property 5'!$B$33,L119+L108,0)</f>
        <v>11173.931203921835</v>
      </c>
      <c r="M122" s="273">
        <f>IF('Data Property 5'!L161&lt;'Input Property 5'!$B$33,M119+M108,0)</f>
        <v>11666.554769303788</v>
      </c>
      <c r="N122" s="273">
        <f>IF('Data Property 5'!M161&lt;'Input Property 5'!$B$33,N119+N108,0)</f>
        <v>12193.981415550195</v>
      </c>
      <c r="O122" s="273">
        <f>IF('Data Property 5'!N161&lt;'Input Property 5'!$B$33,O119+O108,0)</f>
        <v>12744.065989762519</v>
      </c>
      <c r="P122" s="273">
        <f>IF('Data Property 5'!O161&lt;'Input Property 5'!$B$33,P119+P108,0)</f>
        <v>13332.384417539119</v>
      </c>
      <c r="Q122" s="273">
        <f>IF('Data Property 5'!P161&lt;'Input Property 5'!$B$33,Q119+Q108,0)</f>
        <v>13914.023709825631</v>
      </c>
    </row>
    <row r="123" spans="1:17" x14ac:dyDescent="0.2">
      <c r="A123" s="196" t="s">
        <v>245</v>
      </c>
      <c r="B123" s="196"/>
      <c r="C123" s="335">
        <f>C122</f>
        <v>-16790.819365440329</v>
      </c>
      <c r="D123" s="273">
        <f t="shared" ref="D123:Q123" si="28">C123+D122</f>
        <v>-8566.2140970401306</v>
      </c>
      <c r="E123" s="273">
        <f t="shared" si="28"/>
        <v>-92.167170680948402</v>
      </c>
      <c r="F123" s="273">
        <f t="shared" si="28"/>
        <v>8689.0383476309889</v>
      </c>
      <c r="G123" s="273">
        <f t="shared" si="28"/>
        <v>17817.469128294048</v>
      </c>
      <c r="H123" s="273">
        <f t="shared" si="28"/>
        <v>27202.416718955872</v>
      </c>
      <c r="I123" s="273">
        <f t="shared" si="28"/>
        <v>36986.877015655526</v>
      </c>
      <c r="J123" s="273">
        <f t="shared" si="28"/>
        <v>47206.648425106869</v>
      </c>
      <c r="K123" s="273">
        <f t="shared" si="28"/>
        <v>57885.809828138197</v>
      </c>
      <c r="L123" s="273">
        <f t="shared" si="28"/>
        <v>69059.741032060032</v>
      </c>
      <c r="M123" s="273">
        <f t="shared" si="28"/>
        <v>80726.295801363827</v>
      </c>
      <c r="N123" s="273">
        <f t="shared" si="28"/>
        <v>92920.277216914023</v>
      </c>
      <c r="O123" s="273">
        <f t="shared" si="28"/>
        <v>105664.34320667654</v>
      </c>
      <c r="P123" s="273">
        <f t="shared" si="28"/>
        <v>118996.72762421565</v>
      </c>
      <c r="Q123" s="273">
        <f t="shared" si="28"/>
        <v>132910.75133404127</v>
      </c>
    </row>
    <row r="124" spans="1:17" x14ac:dyDescent="0.2">
      <c r="A124" s="129"/>
      <c r="B124" s="129"/>
      <c r="C124" s="322"/>
      <c r="D124" s="260"/>
      <c r="E124" s="260"/>
      <c r="F124" s="260"/>
      <c r="G124" s="260"/>
      <c r="H124" s="260"/>
      <c r="I124" s="260"/>
      <c r="J124" s="260"/>
      <c r="K124" s="260"/>
      <c r="L124" s="260"/>
      <c r="M124" s="260"/>
      <c r="N124" s="260"/>
      <c r="O124" s="260"/>
      <c r="P124" s="260"/>
      <c r="Q124" s="260"/>
    </row>
    <row r="125" spans="1:17" x14ac:dyDescent="0.2">
      <c r="A125" s="131" t="s">
        <v>90</v>
      </c>
      <c r="B125" s="131"/>
      <c r="C125" s="322"/>
      <c r="D125" s="260"/>
      <c r="E125" s="274"/>
      <c r="F125" s="260"/>
      <c r="G125" s="260"/>
      <c r="H125" s="260"/>
      <c r="I125" s="260"/>
      <c r="J125" s="260"/>
      <c r="K125" s="260"/>
      <c r="L125" s="260"/>
      <c r="M125" s="260"/>
      <c r="N125" s="260"/>
      <c r="O125" s="260"/>
      <c r="P125" s="260"/>
      <c r="Q125" s="260"/>
    </row>
    <row r="126" spans="1:17" x14ac:dyDescent="0.2">
      <c r="A126" s="248" t="s">
        <v>91</v>
      </c>
      <c r="B126" s="248"/>
      <c r="C126" s="336">
        <f>IRR(D126:I126)</f>
        <v>-0.1995999221380772</v>
      </c>
      <c r="D126" s="275">
        <f>-('Input Property 5'!B5-'Input Property 5'!B3+'Input Property 5'!B4)</f>
        <v>-57570</v>
      </c>
      <c r="E126" s="275">
        <f>C122</f>
        <v>-16790.819365440329</v>
      </c>
      <c r="F126" s="275">
        <f>D122</f>
        <v>8224.6052684001988</v>
      </c>
      <c r="G126" s="275">
        <f>E122</f>
        <v>8474.0469263591822</v>
      </c>
      <c r="H126" s="275">
        <f>F122</f>
        <v>8781.2055183119373</v>
      </c>
      <c r="I126" s="275">
        <f>G122</f>
        <v>9128.4307806630568</v>
      </c>
      <c r="J126" s="275"/>
      <c r="K126" s="275"/>
      <c r="L126" s="275"/>
      <c r="M126" s="275"/>
      <c r="N126" s="275"/>
      <c r="O126" s="276"/>
      <c r="P126" s="276"/>
      <c r="Q126" s="276"/>
    </row>
    <row r="127" spans="1:17" x14ac:dyDescent="0.2">
      <c r="A127" s="132" t="s">
        <v>92</v>
      </c>
      <c r="B127" s="132"/>
      <c r="C127" s="337" t="e">
        <f>IRR(D127:N127)</f>
        <v>#NUM!</v>
      </c>
      <c r="D127" s="277">
        <f>'Data Property 5'!C224</f>
        <v>1318.2217304500946</v>
      </c>
      <c r="E127" s="277">
        <f>'Data Property 5'!D224</f>
        <v>1702.5669122358158</v>
      </c>
      <c r="F127" s="277">
        <f>'Data Property 5'!E224</f>
        <v>1691.1270359482169</v>
      </c>
      <c r="G127" s="277">
        <f>'Data Property 5'!F224</f>
        <v>1726.9688322845323</v>
      </c>
      <c r="H127" s="277">
        <f>'Data Property 5'!G224</f>
        <v>1792.0246271945543</v>
      </c>
      <c r="I127" s="277">
        <f>'Data Property 5'!H224</f>
        <v>1755.0851910545953</v>
      </c>
      <c r="J127" s="277">
        <f>'Data Property 5'!I224</f>
        <v>1849.403401108133</v>
      </c>
      <c r="K127" s="277">
        <f>'Data Property 5'!J224</f>
        <v>1967.312238036151</v>
      </c>
      <c r="L127" s="277">
        <f>'Data Property 5'!K224</f>
        <v>2096.6038647595306</v>
      </c>
      <c r="M127" s="277">
        <f>'Data Property 5'!L224</f>
        <v>2248.0713641191687</v>
      </c>
      <c r="N127" s="277">
        <f>'Data Property 5'!L106-'Input Property 5'!B4</f>
        <v>50912.355834869231</v>
      </c>
      <c r="O127" s="278"/>
      <c r="P127" s="279"/>
      <c r="Q127" s="279"/>
    </row>
    <row r="128" spans="1:17" x14ac:dyDescent="0.2">
      <c r="A128" s="132" t="s">
        <v>93</v>
      </c>
      <c r="B128" s="132"/>
      <c r="C128" s="338" t="e">
        <f>IRR(D128:Q128)</f>
        <v>#NUM!</v>
      </c>
      <c r="D128" s="277">
        <f>'Data Property 5'!C224</f>
        <v>1318.2217304500946</v>
      </c>
      <c r="E128" s="277">
        <f>'Data Property 5'!D224</f>
        <v>1702.5669122358158</v>
      </c>
      <c r="F128" s="277">
        <f>'Data Property 5'!E224</f>
        <v>1691.1270359482169</v>
      </c>
      <c r="G128" s="277">
        <f>'Data Property 5'!F224</f>
        <v>1726.9688322845323</v>
      </c>
      <c r="H128" s="277">
        <f>'Data Property 5'!G224</f>
        <v>1792.0246271945543</v>
      </c>
      <c r="I128" s="277">
        <f>'Data Property 5'!H224</f>
        <v>1755.0851910545953</v>
      </c>
      <c r="J128" s="277">
        <f>'Data Property 5'!I224</f>
        <v>1849.403401108133</v>
      </c>
      <c r="K128" s="277">
        <f>'Data Property 5'!J224</f>
        <v>1967.312238036151</v>
      </c>
      <c r="L128" s="277">
        <f>'Data Property 5'!K224</f>
        <v>2096.6038647595306</v>
      </c>
      <c r="M128" s="277">
        <f>'Data Property 5'!L224</f>
        <v>2248.0713641191687</v>
      </c>
      <c r="N128" s="277">
        <f>'Data Property 5'!M224</f>
        <v>2383.6605359090245</v>
      </c>
      <c r="O128" s="277">
        <f>'Data Property 5'!N224</f>
        <v>2539.7714128196239</v>
      </c>
      <c r="P128" s="277">
        <f>'Data Property 5'!O224</f>
        <v>2703.687586922726</v>
      </c>
      <c r="Q128" s="277">
        <f>'Data Property 5'!P224</f>
        <v>2890.3908785857257</v>
      </c>
    </row>
    <row r="129" spans="1:17" x14ac:dyDescent="0.2">
      <c r="A129" s="129"/>
      <c r="B129" s="129"/>
      <c r="C129" s="322"/>
      <c r="D129" s="260"/>
      <c r="E129" s="260"/>
      <c r="F129" s="260"/>
      <c r="G129" s="260"/>
      <c r="H129" s="260"/>
      <c r="I129" s="260"/>
      <c r="J129" s="260"/>
      <c r="K129" s="260"/>
      <c r="L129" s="260"/>
      <c r="M129" s="260"/>
      <c r="N129" s="260"/>
      <c r="O129" s="260"/>
      <c r="P129" s="260"/>
      <c r="Q129" s="260"/>
    </row>
    <row r="130" spans="1:17" x14ac:dyDescent="0.2">
      <c r="A130" s="196" t="s">
        <v>235</v>
      </c>
      <c r="B130" s="196"/>
      <c r="C130" s="339">
        <f>SUM(C122:Q122)</f>
        <v>132910.75133404127</v>
      </c>
      <c r="D130" s="208"/>
      <c r="E130" s="260"/>
      <c r="F130" s="260"/>
      <c r="G130" s="260"/>
      <c r="H130" s="260"/>
      <c r="I130" s="260"/>
      <c r="J130" s="260"/>
      <c r="K130" s="260"/>
      <c r="L130" s="260"/>
      <c r="M130" s="260"/>
      <c r="N130" s="260"/>
      <c r="O130" s="260"/>
      <c r="P130" s="260"/>
      <c r="Q130" s="260"/>
    </row>
    <row r="131" spans="1:17" x14ac:dyDescent="0.2">
      <c r="A131" s="196" t="s">
        <v>236</v>
      </c>
      <c r="B131" s="196"/>
      <c r="C131" s="340">
        <f>C130/C103</f>
        <v>0.90935106276711319</v>
      </c>
      <c r="D131" s="209"/>
      <c r="E131" s="260"/>
      <c r="F131" s="260"/>
      <c r="G131" s="260"/>
      <c r="H131" s="260"/>
      <c r="I131" s="260"/>
      <c r="J131" s="260"/>
      <c r="K131" s="260"/>
      <c r="L131" s="260"/>
      <c r="M131" s="260"/>
      <c r="N131" s="260"/>
      <c r="O131" s="260"/>
      <c r="P131" s="260"/>
      <c r="Q131" s="260"/>
    </row>
    <row r="159" spans="1:17" ht="18" x14ac:dyDescent="0.25">
      <c r="A159" s="280" t="s">
        <v>259</v>
      </c>
      <c r="B159" s="165"/>
      <c r="C159" s="320"/>
      <c r="D159" s="165"/>
      <c r="E159" s="165"/>
      <c r="F159" s="165"/>
      <c r="G159" s="165"/>
      <c r="H159" s="165"/>
      <c r="I159" s="165"/>
      <c r="J159" s="165"/>
      <c r="K159" s="165"/>
      <c r="L159" s="165"/>
      <c r="M159" s="165"/>
      <c r="N159" s="165"/>
      <c r="O159" s="165"/>
      <c r="P159" s="165"/>
      <c r="Q159" s="165"/>
    </row>
    <row r="160" spans="1:17" x14ac:dyDescent="0.2">
      <c r="A160" s="60"/>
      <c r="B160" s="60"/>
      <c r="C160" s="292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</row>
    <row r="161" spans="1:17" x14ac:dyDescent="0.2">
      <c r="A161" t="s">
        <v>161</v>
      </c>
      <c r="B161"/>
      <c r="C161" s="67">
        <f>'Input Property 5'!$B$21</f>
        <v>40724</v>
      </c>
      <c r="D161" s="67">
        <f t="shared" ref="D161:Q161" si="29">DATE(YEAR(C161)+1,MONTH(C161),DAY(C161))</f>
        <v>41090</v>
      </c>
      <c r="E161" s="67">
        <f t="shared" si="29"/>
        <v>41455</v>
      </c>
      <c r="F161" s="67">
        <f t="shared" si="29"/>
        <v>41820</v>
      </c>
      <c r="G161" s="67">
        <f t="shared" si="29"/>
        <v>42185</v>
      </c>
      <c r="H161" s="67">
        <f t="shared" si="29"/>
        <v>42551</v>
      </c>
      <c r="I161" s="67">
        <f t="shared" si="29"/>
        <v>42916</v>
      </c>
      <c r="J161" s="67">
        <f t="shared" si="29"/>
        <v>43281</v>
      </c>
      <c r="K161" s="67">
        <f t="shared" si="29"/>
        <v>43646</v>
      </c>
      <c r="L161" s="67">
        <f t="shared" si="29"/>
        <v>44012</v>
      </c>
      <c r="M161" s="67">
        <f t="shared" si="29"/>
        <v>44377</v>
      </c>
      <c r="N161" s="67">
        <f t="shared" si="29"/>
        <v>44742</v>
      </c>
      <c r="O161" s="67">
        <f t="shared" si="29"/>
        <v>45107</v>
      </c>
      <c r="P161" s="67">
        <f t="shared" si="29"/>
        <v>45473</v>
      </c>
      <c r="Q161" s="67">
        <f t="shared" si="29"/>
        <v>45838</v>
      </c>
    </row>
    <row r="162" spans="1:17" x14ac:dyDescent="0.2">
      <c r="A162" t="s">
        <v>154</v>
      </c>
      <c r="B162"/>
      <c r="C162" s="55">
        <f>IF(('Input Property 5'!$B$21-'Input Property 5'!$B$20)&gt;360,0, 'Input Property 5'!$B$21-'Input Property 5'!$B$20)</f>
        <v>174</v>
      </c>
      <c r="D162" s="55">
        <f>IF('Input Property 5'!$B$33&gt;D161,D161-C161,IF('Input Property 5'!$B$33&lt;C161,0,'Input Property 5'!$B$33-C161))</f>
        <v>366</v>
      </c>
      <c r="E162" s="55">
        <f>IF('Input Property 5'!$B$33&gt;E161,E161-D161,IF('Input Property 5'!$B$33&lt;D161,0,'Input Property 5'!$B$33-D161))</f>
        <v>365</v>
      </c>
      <c r="F162" s="55">
        <f>IF('Input Property 5'!$B$33&gt;F161,F161-E161,IF('Input Property 5'!$B$33&lt;E161,0,'Input Property 5'!$B$33-E161))</f>
        <v>365</v>
      </c>
      <c r="G162" s="55">
        <f>IF('Input Property 5'!$B$33&gt;G161,G161-F161,IF('Input Property 5'!$B$33&lt;F161,0,'Input Property 5'!$B$33-F161))</f>
        <v>365</v>
      </c>
      <c r="H162" s="55">
        <f>IF('Input Property 5'!$B$33&gt;H161,H161-G161,IF('Input Property 5'!$B$33&lt;G161,0,'Input Property 5'!$B$33-G161))</f>
        <v>366</v>
      </c>
      <c r="I162" s="55">
        <f>IF('Input Property 5'!$B$33&gt;I161,I161-H161,IF('Input Property 5'!$B$33&lt;H161,0,'Input Property 5'!$B$33-H161))</f>
        <v>365</v>
      </c>
      <c r="J162" s="55">
        <f>IF('Input Property 5'!$B$33&gt;J161,J161-I161,IF('Input Property 5'!$B$33&lt;I161,0,'Input Property 5'!$B$33-I161))</f>
        <v>365</v>
      </c>
      <c r="K162" s="55">
        <f>IF('Input Property 5'!$B$33&gt;K161,K161-J161,IF('Input Property 5'!$B$33&lt;J161,0,'Input Property 5'!$B$33-J161))</f>
        <v>365</v>
      </c>
      <c r="L162" s="55">
        <f>IF('Input Property 5'!$B$33&gt;L161,L161-K161,IF('Input Property 5'!$B$33&lt;K161,0,'Input Property 5'!$B$33-K161))</f>
        <v>366</v>
      </c>
      <c r="M162" s="55">
        <f>IF('Input Property 5'!$B$33&gt;M161,M161-L161,IF('Input Property 5'!$B$33&lt;L161,0,'Input Property 5'!$B$33-L161))</f>
        <v>365</v>
      </c>
      <c r="N162" s="55">
        <f>IF('Input Property 5'!$B$33&gt;N161,N161-M161,IF('Input Property 5'!$B$33&lt;M161,0,'Input Property 5'!$B$33-M161))</f>
        <v>365</v>
      </c>
      <c r="O162" s="55">
        <f>IF('Input Property 5'!$B$33&gt;O161,O161-N161,IF('Input Property 5'!$B$33&lt;N161,0,'Input Property 5'!$B$33-N161))</f>
        <v>365</v>
      </c>
      <c r="P162" s="55">
        <f>IF('Input Property 5'!$B$33&gt;P161,P161-O161,IF('Input Property 5'!$B$33&lt;O161,0,'Input Property 5'!$B$33-O161))</f>
        <v>366</v>
      </c>
      <c r="Q162" s="55">
        <f>IF('Input Property 5'!$B$33&gt;Q161,Q161-P161,IF('Input Property 5'!$B$33&lt;P161,0,'Input Property 5'!$B$33-P161))</f>
        <v>365</v>
      </c>
    </row>
    <row r="163" spans="1:17" x14ac:dyDescent="0.2">
      <c r="A163" s="27" t="s">
        <v>17</v>
      </c>
      <c r="B163" s="24">
        <f>'Input Property 5'!$B$6</f>
        <v>230</v>
      </c>
      <c r="C163" s="43">
        <f>'Data Property 5'!B163</f>
        <v>230</v>
      </c>
      <c r="D163" s="43">
        <f>C163*(1+'Input Property 5'!B50)</f>
        <v>238.04999999999998</v>
      </c>
      <c r="E163" s="43">
        <f>D163*(1+'Input Property 5'!C50)</f>
        <v>246.38174999999995</v>
      </c>
      <c r="F163" s="43">
        <f>E163*(1+'Input Property 5'!D50)</f>
        <v>255.00511124999994</v>
      </c>
      <c r="G163" s="43">
        <f>F163*(1+'Input Property 5'!E50)</f>
        <v>263.93029014374991</v>
      </c>
      <c r="H163" s="43">
        <f>G163*(1+'Input Property 5'!F50)</f>
        <v>273.16785029878116</v>
      </c>
      <c r="I163" s="43">
        <f>H163*(1+'Input Property 5'!G50)</f>
        <v>282.72872505923846</v>
      </c>
      <c r="J163" s="43">
        <f>I163*(1+'Input Property 5'!H50)</f>
        <v>292.62423043631179</v>
      </c>
      <c r="K163" s="43">
        <f>J163*(1+'Input Property 5'!I50)</f>
        <v>302.86607850158271</v>
      </c>
      <c r="L163" s="43">
        <f>K163*(1+'Input Property 5'!J50)</f>
        <v>313.4663912491381</v>
      </c>
      <c r="M163" s="43">
        <f>L163*(1+'Input Property 5'!K50)</f>
        <v>324.43771494285789</v>
      </c>
      <c r="N163" s="43">
        <f>M163*(1+'Input Property 5'!L50)</f>
        <v>335.79303496585788</v>
      </c>
      <c r="O163" s="43">
        <f>N163*(1+'Input Property 5'!M50)</f>
        <v>347.54579118966291</v>
      </c>
      <c r="P163" s="43">
        <f>O163*(1+'Input Property 5'!N50)</f>
        <v>359.70989388130107</v>
      </c>
      <c r="Q163" s="43">
        <f>P163*(1+'Input Property 5'!O50)</f>
        <v>372.29974016714658</v>
      </c>
    </row>
    <row r="164" spans="1:17" x14ac:dyDescent="0.2">
      <c r="A164" s="38" t="s">
        <v>123</v>
      </c>
      <c r="B164" s="24"/>
      <c r="C164" s="55">
        <f>IF(C162=0,0,(C162-'Input Property 5'!B53)/7)</f>
        <v>22.857142857142858</v>
      </c>
      <c r="D164" s="55">
        <f>IF(D162=0,0,(D162-'Input Property 5'!C53)/7)</f>
        <v>50.285714285714285</v>
      </c>
      <c r="E164" s="55">
        <f>IF(E162=0,0,(E162-'Input Property 5'!D53)/7)</f>
        <v>50.142857142857146</v>
      </c>
      <c r="F164" s="55">
        <f>IF(F162=0,0,(F162-'Input Property 5'!E53)/7)</f>
        <v>50.142857142857146</v>
      </c>
      <c r="G164" s="55">
        <f>IF(G162=0,0,(G162-'Input Property 5'!F53)/7)</f>
        <v>50.142857142857146</v>
      </c>
      <c r="H164" s="55">
        <f>IF(H162=0,0,(H162-'Input Property 5'!G53)/7)</f>
        <v>50.285714285714285</v>
      </c>
      <c r="I164" s="55">
        <f>IF(I162=0,0,(I162-'Input Property 5'!H53)/7)</f>
        <v>50.142857142857146</v>
      </c>
      <c r="J164" s="55">
        <f>IF(J162=0,0,(J162-'Input Property 5'!I53)/7)</f>
        <v>50.142857142857146</v>
      </c>
      <c r="K164" s="55">
        <f>IF(K162=0,0,(K162-'Input Property 5'!J53)/7)</f>
        <v>50.142857142857146</v>
      </c>
      <c r="L164" s="55">
        <f>IF(L162=0,0,(L162-'Input Property 5'!K53)/7)</f>
        <v>50.285714285714285</v>
      </c>
      <c r="M164" s="55">
        <f>IF(M162=0,0,(M162-'Input Property 5'!L53)/7)</f>
        <v>50.142857142857146</v>
      </c>
      <c r="N164" s="55">
        <f>IF(N162=0,0,(N162-'Input Property 5'!M53)/7)</f>
        <v>50.142857142857146</v>
      </c>
      <c r="O164" s="55">
        <f>IF(O162=0,0,(O162-'Input Property 5'!N53)/7)</f>
        <v>50.142857142857146</v>
      </c>
      <c r="P164" s="55">
        <f>IF(P162=0,0,(P162-'Input Property 5'!O53)/7)</f>
        <v>50.285714285714285</v>
      </c>
      <c r="Q164" s="55">
        <f>IF(Q162=0,0,(Q162-'Input Property 5'!P53)/7)</f>
        <v>50.142857142857146</v>
      </c>
    </row>
    <row r="165" spans="1:17" x14ac:dyDescent="0.2">
      <c r="A165" s="27" t="s">
        <v>175</v>
      </c>
      <c r="B165" s="24"/>
      <c r="C165" s="24">
        <f t="shared" ref="C165:Q165" si="30">C164*C163</f>
        <v>5257.1428571428569</v>
      </c>
      <c r="D165" s="24">
        <f t="shared" si="30"/>
        <v>11970.514285714286</v>
      </c>
      <c r="E165" s="24">
        <f t="shared" si="30"/>
        <v>12354.284892857142</v>
      </c>
      <c r="F165" s="24">
        <f t="shared" si="30"/>
        <v>12786.684864107141</v>
      </c>
      <c r="G165" s="24">
        <f t="shared" si="30"/>
        <v>13234.21883435089</v>
      </c>
      <c r="H165" s="24">
        <f t="shared" si="30"/>
        <v>13736.440472167282</v>
      </c>
      <c r="I165" s="24">
        <f t="shared" si="30"/>
        <v>14176.826070827528</v>
      </c>
      <c r="J165" s="24">
        <f t="shared" si="30"/>
        <v>14673.014983306492</v>
      </c>
      <c r="K165" s="24">
        <f t="shared" si="30"/>
        <v>15186.570507722219</v>
      </c>
      <c r="L165" s="24">
        <f t="shared" si="30"/>
        <v>15762.881388528087</v>
      </c>
      <c r="M165" s="24">
        <f t="shared" si="30"/>
        <v>16268.233992134732</v>
      </c>
      <c r="N165" s="24">
        <f t="shared" si="30"/>
        <v>16837.622181859446</v>
      </c>
      <c r="O165" s="24">
        <f t="shared" si="30"/>
        <v>17426.938958224528</v>
      </c>
      <c r="P165" s="24">
        <f t="shared" si="30"/>
        <v>18088.268949459711</v>
      </c>
      <c r="Q165" s="24">
        <f t="shared" si="30"/>
        <v>18668.172685524067</v>
      </c>
    </row>
    <row r="166" spans="1:17" x14ac:dyDescent="0.2">
      <c r="A166" s="9" t="s">
        <v>51</v>
      </c>
      <c r="B166" s="18"/>
      <c r="C166" s="69" t="s">
        <v>118</v>
      </c>
      <c r="D166" s="69" t="s">
        <v>157</v>
      </c>
      <c r="E166" s="69" t="s">
        <v>174</v>
      </c>
      <c r="F166" s="69" t="s">
        <v>176</v>
      </c>
      <c r="G166" s="69" t="s">
        <v>181</v>
      </c>
      <c r="H166" s="69" t="s">
        <v>182</v>
      </c>
      <c r="I166" s="69" t="s">
        <v>183</v>
      </c>
      <c r="J166" s="69" t="s">
        <v>184</v>
      </c>
      <c r="K166" s="69" t="s">
        <v>185</v>
      </c>
      <c r="L166" s="69" t="s">
        <v>186</v>
      </c>
      <c r="M166" s="69" t="s">
        <v>187</v>
      </c>
      <c r="N166" s="69" t="s">
        <v>188</v>
      </c>
      <c r="O166" s="69" t="s">
        <v>189</v>
      </c>
      <c r="P166" s="69" t="s">
        <v>190</v>
      </c>
      <c r="Q166" s="69" t="s">
        <v>191</v>
      </c>
    </row>
    <row r="167" spans="1:17" x14ac:dyDescent="0.2">
      <c r="A167" s="17" t="s">
        <v>112</v>
      </c>
      <c r="B167" s="34" t="s">
        <v>69</v>
      </c>
      <c r="C167" s="24">
        <f>IF(C162=0,0,('Input Property 5'!$B$16*'Input Property 5'!B55)*(C162/365))</f>
        <v>3551.0301369863014</v>
      </c>
      <c r="D167" s="24">
        <f>IF(D162=0,0,('Input Property 5'!$B$16*'Input Property 5'!C55)*(D162/365))</f>
        <v>7469.4082191780826</v>
      </c>
      <c r="E167" s="24">
        <f>IF(E162=0,0,('Input Property 5'!$B$16*'Input Property 5'!D55)*(E162/365))</f>
        <v>7449</v>
      </c>
      <c r="F167" s="24">
        <f>IF(F162=0,0,('Input Property 5'!$B$16*'Input Property 5'!E55)*(F162/365))</f>
        <v>7449</v>
      </c>
      <c r="G167" s="24">
        <f>IF(G162=0,0,('Input Property 5'!$B$16*'Input Property 5'!F55)*(G162/365))</f>
        <v>7449</v>
      </c>
      <c r="H167" s="24">
        <f>IF(H162=0,0,('Input Property 5'!$B$16*'Input Property 5'!G55)*(H162/365))</f>
        <v>7469.4082191780826</v>
      </c>
      <c r="I167" s="24">
        <f>IF(I162=0,0,('Input Property 5'!$B$16*'Input Property 5'!H55)*(I162/365))</f>
        <v>7449</v>
      </c>
      <c r="J167" s="24">
        <f>IF(J162=0,0,('Input Property 5'!$B$16*'Input Property 5'!I55)*(J162/365))</f>
        <v>7449</v>
      </c>
      <c r="K167" s="24">
        <f>IF(K162=0,0,('Input Property 5'!$B$16*'Input Property 5'!J55)*(K162/365))</f>
        <v>7449</v>
      </c>
      <c r="L167" s="24">
        <f>IF(L162=0,0,('Input Property 5'!$B$16*'Input Property 5'!K55)*(L162/365))</f>
        <v>7469.4082191780826</v>
      </c>
      <c r="M167" s="24">
        <f>IF(M162=0,0,('Input Property 5'!$B$16*'Input Property 5'!L55)*(M162/365))</f>
        <v>7449</v>
      </c>
      <c r="N167" s="24">
        <f>IF(N162=0,0,('Input Property 5'!$B$16*'Input Property 5'!M55)*(N162/365))</f>
        <v>7449</v>
      </c>
      <c r="O167" s="24">
        <f>IF(O162=0,0,('Input Property 5'!$B$16*'Input Property 5'!N55)*(O162/365))</f>
        <v>7449</v>
      </c>
      <c r="P167" s="24">
        <f>IF(P162=0,0,('Input Property 5'!$B$16*'Input Property 5'!O55)*(P162/365))</f>
        <v>7469.4082191780826</v>
      </c>
      <c r="Q167" s="24">
        <f>IF(Q162=0,0,('Input Property 5'!$B$16*'Input Property 5'!P55)*(Q162/365))</f>
        <v>7449</v>
      </c>
    </row>
    <row r="168" spans="1:17" x14ac:dyDescent="0.2">
      <c r="A168" s="17" t="s">
        <v>113</v>
      </c>
      <c r="B168" s="34" t="s">
        <v>69</v>
      </c>
      <c r="C168" s="24">
        <f>('Input Property 5'!B17*'Input Property 5'!B19/(C162/365))</f>
        <v>0</v>
      </c>
      <c r="D168" s="24">
        <f t="shared" ref="D168:Q168" si="31">C168</f>
        <v>0</v>
      </c>
      <c r="E168" s="24">
        <f t="shared" si="31"/>
        <v>0</v>
      </c>
      <c r="F168" s="24">
        <f t="shared" si="31"/>
        <v>0</v>
      </c>
      <c r="G168" s="24">
        <f t="shared" si="31"/>
        <v>0</v>
      </c>
      <c r="H168" s="24">
        <f t="shared" si="31"/>
        <v>0</v>
      </c>
      <c r="I168" s="24">
        <f t="shared" si="31"/>
        <v>0</v>
      </c>
      <c r="J168" s="24">
        <f t="shared" si="31"/>
        <v>0</v>
      </c>
      <c r="K168" s="24">
        <f t="shared" si="31"/>
        <v>0</v>
      </c>
      <c r="L168" s="24">
        <f t="shared" si="31"/>
        <v>0</v>
      </c>
      <c r="M168" s="24">
        <f t="shared" si="31"/>
        <v>0</v>
      </c>
      <c r="N168" s="24">
        <f t="shared" si="31"/>
        <v>0</v>
      </c>
      <c r="O168" s="24">
        <f t="shared" si="31"/>
        <v>0</v>
      </c>
      <c r="P168" s="24">
        <f t="shared" si="31"/>
        <v>0</v>
      </c>
      <c r="Q168" s="24">
        <f t="shared" si="31"/>
        <v>0</v>
      </c>
    </row>
    <row r="169" spans="1:17" x14ac:dyDescent="0.2">
      <c r="A169" s="17" t="str">
        <f>'Input Property 5'!I17</f>
        <v>Property Management</v>
      </c>
      <c r="B169" s="372">
        <f>'Input Property 5'!$B$58</f>
        <v>0.08</v>
      </c>
      <c r="C169" s="24">
        <f>(C165*'Data Property 5'!$B$169)</f>
        <v>420.57142857142856</v>
      </c>
      <c r="D169" s="63">
        <f>D165*'Input Property 5'!C58</f>
        <v>957.64114285714288</v>
      </c>
      <c r="E169" s="24">
        <f>E165*'Input Property 5'!D58</f>
        <v>988.34279142857133</v>
      </c>
      <c r="F169" s="24">
        <f>F165*'Input Property 5'!E58</f>
        <v>1022.9347891285713</v>
      </c>
      <c r="G169" s="24">
        <f>G165*'Input Property 5'!F58</f>
        <v>1058.7375067480712</v>
      </c>
      <c r="H169" s="24">
        <f>H165*'Input Property 5'!G58</f>
        <v>1098.9152377733826</v>
      </c>
      <c r="I169" s="24">
        <f>I165*'Input Property 5'!H58</f>
        <v>1134.1460856662022</v>
      </c>
      <c r="J169" s="24">
        <f>J165*'Input Property 5'!I58</f>
        <v>1173.8411986645194</v>
      </c>
      <c r="K169" s="24">
        <f>K165*'Input Property 5'!J58</f>
        <v>1214.9256406177776</v>
      </c>
      <c r="L169" s="24">
        <f>L165*'Input Property 5'!K58</f>
        <v>1261.0305110822469</v>
      </c>
      <c r="M169" s="24">
        <f>M165*'Input Property 5'!L58</f>
        <v>1301.4587193707787</v>
      </c>
      <c r="N169" s="24">
        <f>N165*'Input Property 5'!M58</f>
        <v>1347.0097745487558</v>
      </c>
      <c r="O169" s="24">
        <f>O165*'Input Property 5'!N58</f>
        <v>1394.1551166579623</v>
      </c>
      <c r="P169" s="24">
        <f>P165*'Input Property 5'!O58</f>
        <v>1447.0615159567769</v>
      </c>
      <c r="Q169" s="24">
        <f>Q165*'Input Property 5'!P58</f>
        <v>1493.4538148419254</v>
      </c>
    </row>
    <row r="170" spans="1:17" x14ac:dyDescent="0.2">
      <c r="A170" s="17" t="s">
        <v>56</v>
      </c>
      <c r="B170" s="373"/>
      <c r="C170" s="24">
        <f>IF(C162=0,0,C163*'Input Property 5'!B54)</f>
        <v>230</v>
      </c>
      <c r="D170" s="63">
        <f>IF(D162=0,0,D163*'Input Property 5'!C54)</f>
        <v>238.04999999999998</v>
      </c>
      <c r="E170" s="24">
        <f>IF(E162=0,0,E163*'Input Property 5'!D54)</f>
        <v>246.38174999999995</v>
      </c>
      <c r="F170" s="24">
        <f>IF(F162=0,0,F163*'Input Property 5'!E54)</f>
        <v>255.00511124999994</v>
      </c>
      <c r="G170" s="24">
        <f>IF(G162=0,0,G163*'Input Property 5'!F54)</f>
        <v>263.93029014374991</v>
      </c>
      <c r="H170" s="24">
        <f>IF(H162=0,0,H163*'Input Property 5'!G54)</f>
        <v>273.16785029878116</v>
      </c>
      <c r="I170" s="24">
        <f>IF(I162=0,0,I163*'Input Property 5'!H54)</f>
        <v>282.72872505923846</v>
      </c>
      <c r="J170" s="24">
        <f>IF(J162=0,0,J163*'Input Property 5'!I54)</f>
        <v>292.62423043631179</v>
      </c>
      <c r="K170" s="24">
        <f>IF(K162=0,0,K163*'Input Property 5'!J54)</f>
        <v>302.86607850158271</v>
      </c>
      <c r="L170" s="24">
        <f>IF(L162=0,0,L163*'Input Property 5'!K54)</f>
        <v>313.4663912491381</v>
      </c>
      <c r="M170" s="24">
        <f>IF(M162=0,0,M163*'Input Property 5'!L54)</f>
        <v>324.43771494285789</v>
      </c>
      <c r="N170" s="24">
        <f>IF(N162=0,0,N163*'Input Property 5'!M54)</f>
        <v>335.79303496585788</v>
      </c>
      <c r="O170" s="24">
        <f>IF(O162=0,0,O163*'Input Property 5'!N54)</f>
        <v>347.54579118966291</v>
      </c>
      <c r="P170" s="24">
        <f>IF(P162=0,0,P163*'Input Property 5'!O54)</f>
        <v>359.70989388130107</v>
      </c>
      <c r="Q170" s="24">
        <f>IF(Q162=0,0,Q163*'Input Property 5'!P54)</f>
        <v>372.29974016714658</v>
      </c>
    </row>
    <row r="171" spans="1:17" x14ac:dyDescent="0.2">
      <c r="A171" s="17" t="str">
        <f>'Input Property 5'!J18</f>
        <v>Insurance</v>
      </c>
      <c r="B171" s="373">
        <f>'Input Property 5'!$K$18</f>
        <v>1200</v>
      </c>
      <c r="C171" s="24">
        <f>IF(C162=0,0,'Data Property 5'!B171*(C162/365))</f>
        <v>572.05479452054794</v>
      </c>
      <c r="D171" s="63">
        <f>IF(D162=0,0,('Data Property 5'!B171*(1+'Input Property 5'!C51))*(D162/(D161-C161)))</f>
        <v>1230</v>
      </c>
      <c r="E171" s="63">
        <f>IF(E162=0,0,(D171*(1+'Input Property 5'!D51))*(E162/(E161-D161)))</f>
        <v>1260.75</v>
      </c>
      <c r="F171" s="63">
        <f>IF(F162=0,0,(E171*(1+'Input Property 5'!E51))*(F162/(F161-E161)))</f>
        <v>1292.26875</v>
      </c>
      <c r="G171" s="63">
        <f>IF(G162=0,0,(F171*(1+'Input Property 5'!F51))*(G162/(G161-F161)))</f>
        <v>1324.5754687499998</v>
      </c>
      <c r="H171" s="63">
        <f>IF(H162=0,0,(G171*(1+'Input Property 5'!G51))*(H162/(H161-G161)))</f>
        <v>1357.6898554687498</v>
      </c>
      <c r="I171" s="63">
        <f>IF(I162=0,0,(H171*(1+'Input Property 5'!H51))*(I162/(I161-H161)))</f>
        <v>1391.6321018554684</v>
      </c>
      <c r="J171" s="63">
        <f>IF(J162=0,0,(I171*(1+'Input Property 5'!I51))*(J162/(J161-I161)))</f>
        <v>1426.422904401855</v>
      </c>
      <c r="K171" s="63">
        <f>IF(K162=0,0,(J171*(1+'Input Property 5'!J51))*(K162/(K161-J161)))</f>
        <v>1462.0834770119013</v>
      </c>
      <c r="L171" s="63">
        <f>IF(L162=0,0,(K171*(1+'Input Property 5'!K51))*(L162/(L161-K161)))</f>
        <v>1498.6355639371986</v>
      </c>
      <c r="M171" s="63">
        <f>IF(M162=0,0,(L171*(1+'Input Property 5'!L51))*(M162/(M161-L161)))</f>
        <v>1536.1014530356285</v>
      </c>
      <c r="N171" s="63">
        <f>IF(N162=0,0,(M171*(1+'Input Property 5'!M51))*(N162/(N161-M161)))</f>
        <v>1574.5039893615192</v>
      </c>
      <c r="O171" s="63">
        <f>IF(O162=0,0,(N171*(1+'Input Property 5'!N51))*(O162/(O161-N161)))</f>
        <v>1613.8665890955569</v>
      </c>
      <c r="P171" s="63">
        <f>IF(P162=0,0,(O171*(1+'Input Property 5'!O51))*(P162/(P161-O161)))</f>
        <v>1654.2132538229457</v>
      </c>
      <c r="Q171" s="63">
        <f>IF(Q162=0,0,(P171*(1+'Input Property 5'!P51))*(Q162/(Q161-P161)))</f>
        <v>1695.5685851685191</v>
      </c>
    </row>
    <row r="172" spans="1:17" x14ac:dyDescent="0.2">
      <c r="A172" s="17" t="str">
        <f>'Input Property 5'!J19</f>
        <v>Maintenance</v>
      </c>
      <c r="B172" s="373">
        <f>'Input Property 5'!$K$19</f>
        <v>1000</v>
      </c>
      <c r="C172" s="24">
        <f>IF(C162=0,0,'Data Property 5'!B172*(C162/365))</f>
        <v>476.71232876712327</v>
      </c>
      <c r="D172" s="63">
        <f>IF(D162=0,0,('Data Property 5'!B172*(1+'Input Property 5'!B51))*(D162/(D161-C161)))</f>
        <v>1025</v>
      </c>
      <c r="E172" s="63">
        <f>IF(E162=0,0,(D172*(1+'Input Property 5'!C51))*(E162/(E161-D161)))</f>
        <v>1050.625</v>
      </c>
      <c r="F172" s="63">
        <f>IF(F162=0,0,(E172*(1+'Input Property 5'!D51))*(F162/(F161-E161)))</f>
        <v>1076.890625</v>
      </c>
      <c r="G172" s="63">
        <f>IF(G162=0,0,(F172*(1+'Input Property 5'!E51))*(G162/(G161-F161)))</f>
        <v>1103.8128906249999</v>
      </c>
      <c r="H172" s="63">
        <f>IF(H162=0,0,(G172*(1+'Input Property 5'!F51))*(H162/(H161-G161)))</f>
        <v>1131.4082128906248</v>
      </c>
      <c r="I172" s="63">
        <f>IF(I162=0,0,(H172*(1+'Input Property 5'!G51))*(I162/(I161-H161)))</f>
        <v>1159.6934182128903</v>
      </c>
      <c r="J172" s="63">
        <f>IF(J162=0,0,(I172*(1+'Input Property 5'!H51))*(J162/(J161-I161)))</f>
        <v>1188.6857536682123</v>
      </c>
      <c r="K172" s="63">
        <f>IF(K162=0,0,(J172*(1+'Input Property 5'!I51))*(K162/(K161-J161)))</f>
        <v>1218.4028975099175</v>
      </c>
      <c r="L172" s="63">
        <f>IF(L162=0,0,(K172*(1+'Input Property 5'!J51))*(L162/(L161-K161)))</f>
        <v>1248.8629699476653</v>
      </c>
      <c r="M172" s="63">
        <f>IF(M162=0,0,(L172*(1+'Input Property 5'!K51))*(M162/(M161-L161)))</f>
        <v>1280.0845441963568</v>
      </c>
      <c r="N172" s="63">
        <f>IF(N162=0,0,(M172*(1+'Input Property 5'!L51))*(N162/(N161-M161)))</f>
        <v>1312.0866578012656</v>
      </c>
      <c r="O172" s="63">
        <f>IF(O162=0,0,(N172*(1+'Input Property 5'!M51))*(O162/(O161-N161)))</f>
        <v>1344.8888242462972</v>
      </c>
      <c r="P172" s="63">
        <f>IF(P162=0,0,(O172*(1+'Input Property 5'!N51))*(P162/(P161-O161)))</f>
        <v>1378.5110448524545</v>
      </c>
      <c r="Q172" s="63">
        <f>IF(Q162=0,0,(P172*(1+'Input Property 5'!O51))*(Q162/(Q161-P161)))</f>
        <v>1412.9738209737657</v>
      </c>
    </row>
    <row r="173" spans="1:17" x14ac:dyDescent="0.2">
      <c r="A173" s="17" t="str">
        <f>'Input Property 5'!J20</f>
        <v>Strata</v>
      </c>
      <c r="B173" s="373">
        <f>'Input Property 5'!$K$20</f>
        <v>0</v>
      </c>
      <c r="C173" s="24">
        <f>IF(C162=0,0,'Data Property 5'!B173*(C162/365))</f>
        <v>0</v>
      </c>
      <c r="D173" s="63">
        <f>IF(D162=0,0,('Data Property 5'!B173+('Data Property 5'!B173*'Input Property 5'!C$51))*(D162/(D161-C161)))</f>
        <v>0</v>
      </c>
      <c r="E173" s="63">
        <f>IF(E162=0,0,(D173+(D173*'Input Property 5'!D$51))*(E162/(E161-D161)))</f>
        <v>0</v>
      </c>
      <c r="F173" s="63">
        <f>IF(F162=0,0,(E173+(E173*'Input Property 5'!E$51))*(F162/(F161-E161)))</f>
        <v>0</v>
      </c>
      <c r="G173" s="63">
        <f>IF(G162=0,0,(F173+(F173*'Input Property 5'!F$51))*(G162/(G161-F161)))</f>
        <v>0</v>
      </c>
      <c r="H173" s="63">
        <f>IF(H162=0,0,(G173+(G173*'Input Property 5'!G$51))*(H162/(H161-G161)))</f>
        <v>0</v>
      </c>
      <c r="I173" s="63">
        <f>IF(I162=0,0,(H173+(H173*'Input Property 5'!H$51))*(I162/(I161-H161)))</f>
        <v>0</v>
      </c>
      <c r="J173" s="63">
        <f>IF(J162=0,0,(I173+(I173*'Input Property 5'!I$51))*(J162/(J161-I161)))</f>
        <v>0</v>
      </c>
      <c r="K173" s="63">
        <f>IF(K162=0,0,(J173+(J173*'Input Property 5'!J$51))*(K162/(K161-J161)))</f>
        <v>0</v>
      </c>
      <c r="L173" s="63">
        <f>IF(L162=0,0,(K173+(K173*'Input Property 5'!K$51))*(L162/(L161-K161)))</f>
        <v>0</v>
      </c>
      <c r="M173" s="63">
        <f>IF(M162=0,0,(L173+(L173*'Input Property 5'!L$51))*(M162/(M161-L161)))</f>
        <v>0</v>
      </c>
      <c r="N173" s="63">
        <f>IF(N162=0,0,(M173+(M173*'Input Property 5'!M$51))*(N162/(N161-M161)))</f>
        <v>0</v>
      </c>
      <c r="O173" s="63">
        <f>IF(O162=0,0,(N173+(N173*'Input Property 5'!N$51))*(O162/(O161-N161)))</f>
        <v>0</v>
      </c>
      <c r="P173" s="63">
        <f>IF(P162=0,0,(O173+(O173*'Input Property 5'!O$51))*(P162/(P161-O161)))</f>
        <v>0</v>
      </c>
      <c r="Q173" s="63">
        <f>IF(Q162=0,0,(P173+(P173*'Input Property 5'!P$51))*(Q162/(Q161-P161)))</f>
        <v>0</v>
      </c>
    </row>
    <row r="174" spans="1:17" x14ac:dyDescent="0.2">
      <c r="A174" s="17" t="str">
        <f>'Input Property 5'!J21</f>
        <v>Water Charges</v>
      </c>
      <c r="B174" s="373">
        <f>'Input Property 5'!$K$21</f>
        <v>0</v>
      </c>
      <c r="C174" s="24">
        <f>IF(C162=0,0,'Data Property 5'!B174*(C162/365))</f>
        <v>0</v>
      </c>
      <c r="D174" s="24">
        <f>IF(D162=0,0,('Data Property 5'!B174+('Data Property 5'!B174*'Input Property 5'!C$51))*(D162/(D161-C161)))</f>
        <v>0</v>
      </c>
      <c r="E174" s="24">
        <f>IF(E162=0,0,(D174+(D174*'Input Property 5'!D$51))*(E162/(E161-D161)))</f>
        <v>0</v>
      </c>
      <c r="F174" s="24">
        <f>IF(F162=0,0,(E174+(E174*'Input Property 5'!E$51))*(F162/(F161-E161)))</f>
        <v>0</v>
      </c>
      <c r="G174" s="24">
        <f>IF(G162=0,0,(F174+(F174*'Input Property 5'!F$51))*(G162/(G161-F161)))</f>
        <v>0</v>
      </c>
      <c r="H174" s="24">
        <f>IF(H162=0,0,(G174+(G174*'Input Property 5'!G$51))*(H162/(H161-G161)))</f>
        <v>0</v>
      </c>
      <c r="I174" s="24">
        <f>IF(I162=0,0,(H174+(H174*'Input Property 5'!H$51))*(I162/(I161-H161)))</f>
        <v>0</v>
      </c>
      <c r="J174" s="24">
        <f>IF(J162=0,0,(I174+(I174*'Input Property 5'!I$51))*(J162/(J161-I161)))</f>
        <v>0</v>
      </c>
      <c r="K174" s="24">
        <f>IF(K162=0,0,(J174+(J174*'Input Property 5'!J$51))*(K162/(K161-J161)))</f>
        <v>0</v>
      </c>
      <c r="L174" s="24">
        <f>IF(L162=0,0,(K174+(K174*'Input Property 5'!K$51))*(L162/(L161-K161)))</f>
        <v>0</v>
      </c>
      <c r="M174" s="24">
        <f>IF(M162=0,0,(L174+(L174*'Input Property 5'!L$51))*(M162/(M161-L161)))</f>
        <v>0</v>
      </c>
      <c r="N174" s="24">
        <f>IF(N162=0,0,(M174+(M174*'Input Property 5'!M$51))*(N162/(N161-M161)))</f>
        <v>0</v>
      </c>
      <c r="O174" s="24">
        <f>IF(O162=0,0,(N174+(N174*'Input Property 5'!N$51))*(O162/(O161-N161)))</f>
        <v>0</v>
      </c>
      <c r="P174" s="24">
        <f>IF(P162=0,0,(O174+(O174*'Input Property 5'!O$51))*(P162/(P161-O161)))</f>
        <v>0</v>
      </c>
      <c r="Q174" s="24">
        <f>IF(Q162=0,0,(P174+(P174*'Input Property 5'!P$51))*(Q162/(Q161-P161)))</f>
        <v>0</v>
      </c>
    </row>
    <row r="175" spans="1:17" x14ac:dyDescent="0.2">
      <c r="A175" s="17" t="str">
        <f>'Input Property 5'!J22</f>
        <v>Cleaning</v>
      </c>
      <c r="B175" s="373">
        <f>'Input Property 5'!$K$22</f>
        <v>0</v>
      </c>
      <c r="C175" s="24">
        <f>IF(C162=0,0,('Data Property 5'!B175+('Data Property 5'!B175*'Input Property 5'!B$51))*(C162/(365)))</f>
        <v>0</v>
      </c>
      <c r="D175" s="24">
        <f>IF(D162=0,0,('Data Property 5'!B175+('Data Property 5'!B175*'Input Property 5'!C$51))*(D162/(D161-C161)))</f>
        <v>0</v>
      </c>
      <c r="E175" s="24">
        <f>IF(E162=0,0,(D175+(D175*'Input Property 5'!D$51))*(E162/(E161-D161)))</f>
        <v>0</v>
      </c>
      <c r="F175" s="24">
        <f>IF(F162=0,0,(E175+(E175*'Input Property 5'!E$51))*(F162/(F161-E161)))</f>
        <v>0</v>
      </c>
      <c r="G175" s="24">
        <f>IF(G162=0,0,(F175+(F175*'Input Property 5'!F$51))*(G162/(G161-F161)))</f>
        <v>0</v>
      </c>
      <c r="H175" s="24">
        <f>IF(H162=0,0,(G175+(G175*'Input Property 5'!G$51))*(H162/(H161-G161)))</f>
        <v>0</v>
      </c>
      <c r="I175" s="24">
        <f>IF(I162=0,0,(H175+(H175*'Input Property 5'!H$51))*(I162/(I161-H161)))</f>
        <v>0</v>
      </c>
      <c r="J175" s="24">
        <f>IF(J162=0,0,(I175+(I175*'Input Property 5'!I$51))*(J162/(J161-I161)))</f>
        <v>0</v>
      </c>
      <c r="K175" s="24">
        <f>IF(K162=0,0,(J175+(J175*'Input Property 5'!J$51))*(K162/(K161-J161)))</f>
        <v>0</v>
      </c>
      <c r="L175" s="24">
        <f>IF(L162=0,0,(K175+(K175*'Input Property 5'!K$51))*(L162/(L161-K161)))</f>
        <v>0</v>
      </c>
      <c r="M175" s="24">
        <f>IF(M162=0,0,(L175+(L175*'Input Property 5'!L$51))*(M162/(M161-L161)))</f>
        <v>0</v>
      </c>
      <c r="N175" s="24">
        <f>IF(N162=0,0,(M175+(M175*'Input Property 5'!M$51))*(N162/(N161-M161)))</f>
        <v>0</v>
      </c>
      <c r="O175" s="24">
        <f>IF(O162=0,0,(N175+(N175*'Input Property 5'!N$51))*(O162/(O161-N161)))</f>
        <v>0</v>
      </c>
      <c r="P175" s="24">
        <f>IF(P162=0,0,(O175+(O175*'Input Property 5'!O$51))*(P162/(P161-O161)))</f>
        <v>0</v>
      </c>
      <c r="Q175" s="24">
        <f>IF(Q162=0,0,(P175+(P175*'Input Property 5'!P$51))*(Q162/(Q161-P161)))</f>
        <v>0</v>
      </c>
    </row>
    <row r="176" spans="1:17" x14ac:dyDescent="0.2">
      <c r="A176" s="17" t="str">
        <f>'Input Property 5'!J23</f>
        <v>Council Rates</v>
      </c>
      <c r="B176" s="373">
        <f>'Input Property 5'!$K$23</f>
        <v>1200</v>
      </c>
      <c r="C176" s="24">
        <f>IF(C162=0,0,'Data Property 5'!B176*(C162/365))</f>
        <v>572.05479452054794</v>
      </c>
      <c r="D176" s="24">
        <f>IF(D162=0,0,('Data Property 5'!B176+('Data Property 5'!B176*'Input Property 5'!C$51))*(D162/(D161-C161)))</f>
        <v>1230</v>
      </c>
      <c r="E176" s="24">
        <f>IF(E162=0,0,(D176+(D176*'Input Property 5'!D$51))*(E162/(E161-D161)))</f>
        <v>1260.75</v>
      </c>
      <c r="F176" s="24">
        <f>IF(F162=0,0,(E176+(E176*'Input Property 5'!E$51))*(F162/(F161-E161)))</f>
        <v>1292.26875</v>
      </c>
      <c r="G176" s="24">
        <f>IF(G162=0,0,(F176+(F176*'Input Property 5'!F$51))*(G162/(G161-F161)))</f>
        <v>1324.57546875</v>
      </c>
      <c r="H176" s="24">
        <f>IF(H162=0,0,(G176+(G176*'Input Property 5'!G$51))*(H162/(H161-G161)))</f>
        <v>1357.68985546875</v>
      </c>
      <c r="I176" s="24">
        <f>IF(I162=0,0,(H176+(H176*'Input Property 5'!H$51))*(I162/(I161-H161)))</f>
        <v>1391.6321018554688</v>
      </c>
      <c r="J176" s="24">
        <f>IF(J162=0,0,(I176+(I176*'Input Property 5'!I$51))*(J162/(J161-I161)))</f>
        <v>1426.4229044018555</v>
      </c>
      <c r="K176" s="24">
        <f>IF(K162=0,0,(J176+(J176*'Input Property 5'!J$51))*(K162/(K161-J161)))</f>
        <v>1462.0834770119018</v>
      </c>
      <c r="L176" s="24">
        <f>IF(L162=0,0,(K176+(K176*'Input Property 5'!K$51))*(L162/(L161-K161)))</f>
        <v>1498.6355639371993</v>
      </c>
      <c r="M176" s="24">
        <f>IF(M162=0,0,(L176+(L176*'Input Property 5'!L$51))*(M162/(M161-L161)))</f>
        <v>1536.1014530356292</v>
      </c>
      <c r="N176" s="24">
        <f>IF(N162=0,0,(M176+(M176*'Input Property 5'!M$51))*(N162/(N161-M161)))</f>
        <v>1574.5039893615199</v>
      </c>
      <c r="O176" s="24">
        <f>IF(O162=0,0,(N176+(N176*'Input Property 5'!N$51))*(O162/(O161-N161)))</f>
        <v>1613.8665890955579</v>
      </c>
      <c r="P176" s="24">
        <f>IF(P162=0,0,(O176+(O176*'Input Property 5'!O$51))*(P162/(P161-O161)))</f>
        <v>1654.2132538229469</v>
      </c>
      <c r="Q176" s="24">
        <f>IF(Q162=0,0,(P176+(P176*'Input Property 5'!P$51))*(Q162/(Q161-P161)))</f>
        <v>1695.5685851685205</v>
      </c>
    </row>
    <row r="177" spans="1:17" x14ac:dyDescent="0.2">
      <c r="A177" s="17" t="str">
        <f>'Input Property 5'!J24</f>
        <v>Gardening / Mowing</v>
      </c>
      <c r="B177" s="373">
        <f>'Input Property 5'!$K$24</f>
        <v>0</v>
      </c>
      <c r="C177" s="24">
        <f>IF(C162=0,0,'Data Property 5'!B177*(C162/365))</f>
        <v>0</v>
      </c>
      <c r="D177" s="24">
        <f>IF(D162=0,0,('Data Property 5'!B177+('Data Property 5'!B177*'Input Property 5'!C$51))*(D162/(D161-C161)))</f>
        <v>0</v>
      </c>
      <c r="E177" s="24">
        <f>IF(E162=0,0,(D177+(D177*'Input Property 5'!D$51))*(E162/(E161-D161)))</f>
        <v>0</v>
      </c>
      <c r="F177" s="24">
        <f>IF(F162=0,0,(E177+(E177*'Input Property 5'!E$51))*(F162/(F161-E161)))</f>
        <v>0</v>
      </c>
      <c r="G177" s="24">
        <f>IF(G162=0,0,(F177+(F177*'Input Property 5'!F$51))*(G162/(G161-F161)))</f>
        <v>0</v>
      </c>
      <c r="H177" s="24">
        <f>IF(H162=0,0,(G177+(G177*'Input Property 5'!G$51))*(H162/(H161-G161)))</f>
        <v>0</v>
      </c>
      <c r="I177" s="24">
        <f>IF(I162=0,0,(H177+(H177*'Input Property 5'!H$51))*(I162/(I161-H161)))</f>
        <v>0</v>
      </c>
      <c r="J177" s="24">
        <f>IF(J162=0,0,(I177+(I177*'Input Property 5'!I$51))*(J162/(J161-I161)))</f>
        <v>0</v>
      </c>
      <c r="K177" s="24">
        <f>IF(K162=0,0,(J177+(J177*'Input Property 5'!J$51))*(K162/(K161-J161)))</f>
        <v>0</v>
      </c>
      <c r="L177" s="24">
        <f>IF(L162=0,0,(K177+(K177*'Input Property 5'!K$51))*(L162/(L161-K161)))</f>
        <v>0</v>
      </c>
      <c r="M177" s="24">
        <f>IF(M162=0,0,(L177+(L177*'Input Property 5'!L$51))*(M162/(M161-L161)))</f>
        <v>0</v>
      </c>
      <c r="N177" s="24">
        <f>IF(N162=0,0,(M177+(M177*'Input Property 5'!M$51))*(N162/(N161-M161)))</f>
        <v>0</v>
      </c>
      <c r="O177" s="24">
        <f>IF(O162=0,0,(N177+(N177*'Input Property 5'!N$51))*(O162/(O161-N161)))</f>
        <v>0</v>
      </c>
      <c r="P177" s="24">
        <f>IF(P162=0,0,(O177+(O177*'Input Property 5'!O$51))*(P162/(P161-O161)))</f>
        <v>0</v>
      </c>
      <c r="Q177" s="24">
        <f>IF(Q162=0,0,(P177+(P177*'Input Property 5'!P$51))*(Q162/(Q161-P161)))</f>
        <v>0</v>
      </c>
    </row>
    <row r="178" spans="1:17" x14ac:dyDescent="0.2">
      <c r="A178" s="17" t="str">
        <f>'Input Property 5'!J25</f>
        <v>Land Tax</v>
      </c>
      <c r="B178" s="373">
        <f>'Input Property 5'!$K$25</f>
        <v>0</v>
      </c>
      <c r="C178" s="24">
        <f>IF(C162=0,0,'Data Property 5'!B178*(C162/365))</f>
        <v>0</v>
      </c>
      <c r="D178" s="24">
        <f>IF(D162=0,0,('Data Property 5'!B178+('Data Property 5'!B178*'Input Property 5'!C$51))*(D162/(D161-C161)))</f>
        <v>0</v>
      </c>
      <c r="E178" s="24">
        <f>IF(E162=0,0,(D178+(D178*'Input Property 5'!D$51))*(E162/(E161-D161)))</f>
        <v>0</v>
      </c>
      <c r="F178" s="24">
        <f>IF(F162=0,0,(E178+(E178*'Input Property 5'!E$51))*(F162/(F161-E161)))</f>
        <v>0</v>
      </c>
      <c r="G178" s="24">
        <f>IF(G162=0,0,(F178+(F178*'Input Property 5'!F$51))*(G162/(G161-F161)))</f>
        <v>0</v>
      </c>
      <c r="H178" s="24">
        <f>IF(H162=0,0,(G178+(G178*'Input Property 5'!G$51))*(H162/(H161-G161)))</f>
        <v>0</v>
      </c>
      <c r="I178" s="24">
        <f>IF(I162=0,0,(H178+(H178*'Input Property 5'!H$51))*(I162/(I161-H161)))</f>
        <v>0</v>
      </c>
      <c r="J178" s="24">
        <f>IF(J162=0,0,(I178+(I178*'Input Property 5'!I$51))*(J162/(J161-I161)))</f>
        <v>0</v>
      </c>
      <c r="K178" s="24">
        <f>IF(K162=0,0,(J178+(J178*'Input Property 5'!J$51))*(K162/(K161-J161)))</f>
        <v>0</v>
      </c>
      <c r="L178" s="24">
        <f>IF(L162=0,0,(K178+(K178*'Input Property 5'!K$51))*(L162/(L161-K161)))</f>
        <v>0</v>
      </c>
      <c r="M178" s="24">
        <f>IF(M162=0,0,(L178+(L178*'Input Property 5'!L$51))*(M162/(M161-L161)))</f>
        <v>0</v>
      </c>
      <c r="N178" s="24">
        <f>IF(N162=0,0,(M178+(M178*'Input Property 5'!M$51))*(N162/(N161-M161)))</f>
        <v>0</v>
      </c>
      <c r="O178" s="24">
        <f>IF(O162=0,0,(N178+(N178*'Input Property 5'!N$51))*(O162/(O161-N161)))</f>
        <v>0</v>
      </c>
      <c r="P178" s="24">
        <f>IF(P162=0,0,(O178+(O178*'Input Property 5'!O$51))*(P162/(P161-O161)))</f>
        <v>0</v>
      </c>
      <c r="Q178" s="24">
        <f>IF(Q162=0,0,(P178+(P178*'Input Property 5'!P$51))*(Q162/(Q161-P161)))</f>
        <v>0</v>
      </c>
    </row>
    <row r="179" spans="1:17" x14ac:dyDescent="0.2">
      <c r="A179" s="17" t="str">
        <f>'Input Property 5'!J26</f>
        <v>Legal Expenses</v>
      </c>
      <c r="B179" s="373">
        <f>'Input Property 5'!$K$26</f>
        <v>0</v>
      </c>
      <c r="C179" s="24">
        <f>IF(C162=0,0,'Data Property 5'!B179*(C162/365))</f>
        <v>0</v>
      </c>
      <c r="D179" s="24">
        <f>IF(D162=0,0,('Data Property 5'!B179+('Data Property 5'!B179*'Input Property 5'!C$51))*(D162/(D161-C161)))</f>
        <v>0</v>
      </c>
      <c r="E179" s="24">
        <f>IF(E162=0,0,(D179+(D179*'Input Property 5'!D$51))*(E162/(E161-D161)))</f>
        <v>0</v>
      </c>
      <c r="F179" s="24">
        <f>IF(F162=0,0,(E179+(E179*'Input Property 5'!E$51))*(F162/(F161-E161)))</f>
        <v>0</v>
      </c>
      <c r="G179" s="24">
        <f>IF(G162=0,0,(F179+(F179*'Input Property 5'!F$51))*(G162/(G161-F161)))</f>
        <v>0</v>
      </c>
      <c r="H179" s="24">
        <f>IF(H162=0,0,(G179+(G179*'Input Property 5'!G$51))*(H162/(H161-G161)))</f>
        <v>0</v>
      </c>
      <c r="I179" s="24">
        <f>IF(I162=0,0,(H179+(H179*'Input Property 5'!H$51))*(I162/(I161-H161)))</f>
        <v>0</v>
      </c>
      <c r="J179" s="24">
        <f>IF(J162=0,0,(I179+(I179*'Input Property 5'!I$51))*(J162/(J161-I161)))</f>
        <v>0</v>
      </c>
      <c r="K179" s="24">
        <f>IF(K162=0,0,(J179+(J179*'Input Property 5'!J$51))*(K162/(K161-J161)))</f>
        <v>0</v>
      </c>
      <c r="L179" s="24">
        <f>IF(L162=0,0,K179+(K179*'Input Property 5'!K$51)*(L162/(L161-K161)))</f>
        <v>0</v>
      </c>
      <c r="M179" s="24">
        <f>IF(M162=0,0,L179+(L179*'Input Property 5'!L$51)*(M162/(M161-L161)))</f>
        <v>0</v>
      </c>
      <c r="N179" s="24">
        <f>IF(N162=0,0,M179+(M179*'Input Property 5'!M$51)*(N162/(N161-M161)))</f>
        <v>0</v>
      </c>
      <c r="O179" s="24">
        <f>IF(O162=0,0,N179+(N179*'Input Property 5'!N$51)*(O162/(O161-N161)))</f>
        <v>0</v>
      </c>
      <c r="P179" s="24">
        <f>IF(P162=0,0,O179+(O179*'Input Property 5'!O$51)*(P162/(P161-O161)))</f>
        <v>0</v>
      </c>
      <c r="Q179" s="24">
        <f>IF(Q162=0,0,P179+(P179*'Input Property 5'!P$51)*(Q162/(Q161-P161)))</f>
        <v>0</v>
      </c>
    </row>
    <row r="180" spans="1:17" x14ac:dyDescent="0.2">
      <c r="A180" s="17" t="str">
        <f>'Input Property 5'!J27</f>
        <v>Pest Control</v>
      </c>
      <c r="B180" s="373">
        <f>'Input Property 5'!$K$27</f>
        <v>0</v>
      </c>
      <c r="C180" s="24">
        <f>IF(C162=0,0,'Data Property 5'!B180*(C162/365))</f>
        <v>0</v>
      </c>
      <c r="D180" s="24">
        <f>IF(D162=0,0,('Data Property 5'!B180+('Data Property 5'!B180*'Input Property 5'!C$51))*(D162/(D161-C161)))</f>
        <v>0</v>
      </c>
      <c r="E180" s="24">
        <f>IF(E162=0,0,(D180+(D180*'Input Property 5'!D$51))*(E162/(E161-D161)))</f>
        <v>0</v>
      </c>
      <c r="F180" s="24">
        <f>IF(F162=0,0,(E180+(E180*'Input Property 5'!E$51))*(F162/(F161-E161)))</f>
        <v>0</v>
      </c>
      <c r="G180" s="24">
        <f>IF(G162=0,0,(F180+(F180*'Input Property 5'!F$51))*(G162/(G161-F161)))</f>
        <v>0</v>
      </c>
      <c r="H180" s="24">
        <f>IF(H162=0,0,(G180+(G180*'Input Property 5'!G$51))*(H162/(H161-G161)))</f>
        <v>0</v>
      </c>
      <c r="I180" s="24">
        <f>IF(I162=0,0,(H180+(H180*'Input Property 5'!H$51))*(I162/(I161-H161)))</f>
        <v>0</v>
      </c>
      <c r="J180" s="24">
        <f>IF(J162=0,0,(I180+(I180*'Input Property 5'!I$51))*(J162/(J161-I161)))</f>
        <v>0</v>
      </c>
      <c r="K180" s="24">
        <f>IF(K162=0,0,(J180+(J180*'Input Property 5'!J$51))*(K162/(K161-J161)))</f>
        <v>0</v>
      </c>
      <c r="L180" s="24">
        <f>IF(L162=0,0,(K180+(K180*'Input Property 5'!K$51))*(L162/(L161-K161)))</f>
        <v>0</v>
      </c>
      <c r="M180" s="24">
        <f>IF(M162=0,0,(L180+(L180*'Input Property 5'!L$51))*(M162/(M161-L161)))</f>
        <v>0</v>
      </c>
      <c r="N180" s="24">
        <f>IF(N162=0,0,(M180+(M180*'Input Property 5'!M$51))*(N162/(N161-M161)))</f>
        <v>0</v>
      </c>
      <c r="O180" s="24">
        <f>IF(O162=0,0,(N180+(N180*'Input Property 5'!N$51))*(O162/(O161-N161)))</f>
        <v>0</v>
      </c>
      <c r="P180" s="24">
        <f>IF(P162=0,0,(O180+(O180*'Input Property 5'!O$51))*(P162/(P161-O161)))</f>
        <v>0</v>
      </c>
      <c r="Q180" s="24">
        <f>IF(Q162=0,0,(P180+(P180*'Input Property 5'!P$51))*(Q162/(Q161-P161)))</f>
        <v>0</v>
      </c>
    </row>
    <row r="181" spans="1:17" x14ac:dyDescent="0.2">
      <c r="A181" s="17" t="str">
        <f>'Input Property 5'!J28</f>
        <v>Bookkeeping</v>
      </c>
      <c r="B181" s="373">
        <f>'Input Property 5'!$K$28</f>
        <v>0</v>
      </c>
      <c r="C181" s="24">
        <f>IF(C162=0,0,'Data Property 5'!B181*(C162/365))</f>
        <v>0</v>
      </c>
      <c r="D181" s="24">
        <f>IF(D162=0,0,('Data Property 5'!B181+('Data Property 5'!B181*'Input Property 5'!C$51))*(D162/(D161-C161)))</f>
        <v>0</v>
      </c>
      <c r="E181" s="24">
        <f>IF(E162=0,0,(D181+(D181*'Input Property 5'!D$51))*(E162/(E161-D161)))</f>
        <v>0</v>
      </c>
      <c r="F181" s="24">
        <f>IF(F162=0,0,(E181+(E181*'Input Property 5'!E$51))*(F162/(F161-E161)))</f>
        <v>0</v>
      </c>
      <c r="G181" s="24">
        <f>IF(G162=0,0,(F181+(F181*'Input Property 5'!F$51))*(G162/(G161-F161)))</f>
        <v>0</v>
      </c>
      <c r="H181" s="24">
        <f>IF(H162=0,0,(G181+(G181*'Input Property 5'!G$51))*(H162/(H161-G161)))</f>
        <v>0</v>
      </c>
      <c r="I181" s="24">
        <f>IF(I162=0,0,(H181+(H181*'Input Property 5'!H$51))*(I162/(I161-H161)))</f>
        <v>0</v>
      </c>
      <c r="J181" s="24">
        <f>IF(J162=0,0,(I181+(I181*'Input Property 5'!I$51))*(J162/(J161-I161)))</f>
        <v>0</v>
      </c>
      <c r="K181" s="24">
        <f>IF(K162=0,0,(J181+(J181*'Input Property 5'!J$51))*(K162/(K161-J161)))</f>
        <v>0</v>
      </c>
      <c r="L181" s="24">
        <f>IF(L162=0,0,(K181+(K181*'Input Property 5'!K$51))*(L162/(L161-K161)))</f>
        <v>0</v>
      </c>
      <c r="M181" s="24">
        <f>IF(M162=0,0,(L181+(L181*'Input Property 5'!L$51))*(M162/(M161-L161)))</f>
        <v>0</v>
      </c>
      <c r="N181" s="24">
        <f>IF(N162=0,0,(M181+(M181*'Input Property 5'!M$51))*(N162/(N161-M161)))</f>
        <v>0</v>
      </c>
      <c r="O181" s="24">
        <f>IF(O162=0,0,(N181+(N181*'Input Property 5'!N$51))*(O162/(O161-N161)))</f>
        <v>0</v>
      </c>
      <c r="P181" s="24">
        <f>IF(P162=0,0,(O181+(O181*'Input Property 5'!O$51))*(P162/(P161-O161)))</f>
        <v>0</v>
      </c>
      <c r="Q181" s="24">
        <f>IF(Q162=0,0,(P181+(P181*'Input Property 5'!P$51))*(Q162/(Q161-P161)))</f>
        <v>0</v>
      </c>
    </row>
    <row r="182" spans="1:17" x14ac:dyDescent="0.2">
      <c r="A182" s="17" t="str">
        <f>'Input Property 5'!J29</f>
        <v>Postage and Stationery</v>
      </c>
      <c r="B182" s="373">
        <f>'Input Property 5'!$K$29</f>
        <v>0</v>
      </c>
      <c r="C182" s="24">
        <f>IF(C162=0,0,'Data Property 5'!B182*(C162/365))</f>
        <v>0</v>
      </c>
      <c r="D182" s="24">
        <f>IF(D162=0,0,('Data Property 5'!B182+('Data Property 5'!B182*'Input Property 5'!C$51))*(D162/(D161-C161)))</f>
        <v>0</v>
      </c>
      <c r="E182" s="24">
        <f>IF(E162=0,0,(D182+(D182*'Input Property 5'!D$51))*(E162/(E161-D161)))</f>
        <v>0</v>
      </c>
      <c r="F182" s="24">
        <f>IF(F162=0,0,(E182+(E182*'Input Property 5'!E$51))*(F162/(F161-E161)))</f>
        <v>0</v>
      </c>
      <c r="G182" s="24">
        <f>IF(G162=0,0,(F182+(F182*'Input Property 5'!F$51))*(G162/(G161-F161)))</f>
        <v>0</v>
      </c>
      <c r="H182" s="24">
        <f>IF(H162=0,0,(G182+(G182*'Input Property 5'!G$51))*(H162/(H161-G161)))</f>
        <v>0</v>
      </c>
      <c r="I182" s="24">
        <f>IF(I162=0,0,(H182+(H182*'Input Property 5'!H$51))*(I162/(I161-H161)))</f>
        <v>0</v>
      </c>
      <c r="J182" s="24">
        <f>IF(J162=0,0,(I182+(I182*'Input Property 5'!I$51))*(J162/(J161-I161)))</f>
        <v>0</v>
      </c>
      <c r="K182" s="24">
        <f>IF(K162=0,0,(J182+(J182*'Input Property 5'!J$51))*(K162/(K161-J161)))</f>
        <v>0</v>
      </c>
      <c r="L182" s="24">
        <f>IF(L162=0,0,(K182+(K182*'Input Property 5'!K$51))*(L162/(L161-K161)))</f>
        <v>0</v>
      </c>
      <c r="M182" s="24">
        <f>IF(M162=0,0,(L182+(L182*'Input Property 5'!L$51))*(M162/(M161-L161)))</f>
        <v>0</v>
      </c>
      <c r="N182" s="24">
        <f>IF(N162=0,0,(M182+(M182*'Input Property 5'!M$51))*(N162/(N161-M161)))</f>
        <v>0</v>
      </c>
      <c r="O182" s="24">
        <f>IF(O162=0,0,(N182+(N182*'Input Property 5'!N$51))*(O162/(O161-N161)))</f>
        <v>0</v>
      </c>
      <c r="P182" s="24">
        <f>IF(P162=0,0,(O182+(O182*'Input Property 5'!O$51))*(P162/(P161-O161)))</f>
        <v>0</v>
      </c>
      <c r="Q182" s="24">
        <f>IF(Q162=0,0,(P182+(P182*'Input Property 5'!P$51))*(Q162/(Q161-P161)))</f>
        <v>0</v>
      </c>
    </row>
    <row r="183" spans="1:17" x14ac:dyDescent="0.2">
      <c r="A183" s="17" t="str">
        <f>'Input Property 5'!J30</f>
        <v>Tax Related Expenses</v>
      </c>
      <c r="B183" s="373">
        <f>'Input Property 5'!$K$30</f>
        <v>574.75</v>
      </c>
      <c r="C183" s="24">
        <f>IF(C162=0,0,'Data Property 5'!B183*(C162/365))</f>
        <v>273.99041095890408</v>
      </c>
      <c r="D183" s="24">
        <f>IF(D162=0,0,('Data Property 5'!B183+('Data Property 5'!B183*'Input Property 5'!C$51))*(D162/(D161-C161)))</f>
        <v>589.11874999999998</v>
      </c>
      <c r="E183" s="24">
        <f>IF(E162=0,0,(D183+(D183*'Input Property 5'!D$51))*(E162/(E161-D161)))</f>
        <v>603.84671874999992</v>
      </c>
      <c r="F183" s="24">
        <f>IF(F162=0,0,(E183+(E183*'Input Property 5'!E$51))*(F162/(F161-E161)))</f>
        <v>618.94288671874995</v>
      </c>
      <c r="G183" s="24">
        <f>IF(G162=0,0,(F183+(F183*'Input Property 5'!F$51))*(G162/(G161-F161)))</f>
        <v>634.41645888671871</v>
      </c>
      <c r="H183" s="24">
        <f>IF(H162=0,0,(G183+(G183*'Input Property 5'!G$51))*(H162/(H161-G161)))</f>
        <v>650.27687035888664</v>
      </c>
      <c r="I183" s="24">
        <f>IF(I162=0,0,(H183+(H183*'Input Property 5'!H$51))*(I162/(I161-H161)))</f>
        <v>666.53379211785875</v>
      </c>
      <c r="J183" s="24">
        <f>IF(J162=0,0,(I183+(I183*'Input Property 5'!I$51))*(J162/(J161-I161)))</f>
        <v>683.19713692080518</v>
      </c>
      <c r="K183" s="24">
        <f>IF(K162=0,0,(J183+(J183*'Input Property 5'!J$51))*(K162/(K161-J161)))</f>
        <v>700.27706534382526</v>
      </c>
      <c r="L183" s="24">
        <f>IF(L162=0,0,(K183+(K183*'Input Property 5'!K$51))*(L162/(L161-K161)))</f>
        <v>717.7839919774209</v>
      </c>
      <c r="M183" s="24">
        <f>IF(M162=0,0,(L183+(L183*'Input Property 5'!L$51))*(M162/(M161-L161)))</f>
        <v>735.72859177685643</v>
      </c>
      <c r="N183" s="24">
        <f>IF(N162=0,0,(M183+(M183*'Input Property 5'!M$51))*(N162/(N161-M161)))</f>
        <v>754.12180657127783</v>
      </c>
      <c r="O183" s="24">
        <f>IF(O162=0,0,(N183+(N183*'Input Property 5'!N$51))*(O162/(O161-N161)))</f>
        <v>772.97485173555981</v>
      </c>
      <c r="P183" s="24">
        <f>IF(P162=0,0,(O183+(O183*'Input Property 5'!O$51))*(P162/(P161-O161)))</f>
        <v>792.29922302894886</v>
      </c>
      <c r="Q183" s="24">
        <f>IF(Q162=0,0,(P183+(P183*'Input Property 5'!P$51))*(Q162/(Q161-P161)))</f>
        <v>812.10670360467259</v>
      </c>
    </row>
    <row r="184" spans="1:17" x14ac:dyDescent="0.2">
      <c r="A184" s="17" t="str">
        <f>'Input Property 5'!J31</f>
        <v>Travel and Car Expenses</v>
      </c>
      <c r="B184" s="373">
        <f>'Input Property 5'!$K$31</f>
        <v>0</v>
      </c>
      <c r="C184" s="24">
        <f>IF(C162=0,0,'Data Property 5'!B184*(C162/365))</f>
        <v>0</v>
      </c>
      <c r="D184" s="24">
        <f>IF(D162=0,0,('Data Property 5'!B184+('Data Property 5'!B184*'Input Property 5'!C$51))*(D162/365))</f>
        <v>0</v>
      </c>
      <c r="E184" s="24">
        <f>IF(E162=0,0,(D184+(D184*'Input Property 5'!D$51))*(E162/365))</f>
        <v>0</v>
      </c>
      <c r="F184" s="24">
        <f>IF(F162=0,0,(E184+(E184*'Input Property 5'!E$51))*(F162/365))</f>
        <v>0</v>
      </c>
      <c r="G184" s="24">
        <f>IF(G162=0,0,(F184+(F184*'Input Property 5'!F$51))*(G162/365))</f>
        <v>0</v>
      </c>
      <c r="H184" s="24">
        <f>IF(H162=0,0,(G184+(G184*'Input Property 5'!G$51))*(H162/365))</f>
        <v>0</v>
      </c>
      <c r="I184" s="24">
        <f>IF(I162=0,0,(H184+(H184*'Input Property 5'!H$51))*(I162/365))</f>
        <v>0</v>
      </c>
      <c r="J184" s="24">
        <f>IF(J162=0,0,(I184+(I184*'Input Property 5'!I$51))*(J162/365))</f>
        <v>0</v>
      </c>
      <c r="K184" s="24">
        <f>IF(K162=0,0,(J184+(J184*'Input Property 5'!J$51))*(K162/365))</f>
        <v>0</v>
      </c>
      <c r="L184" s="24">
        <f>IF(L162=0,0,(K184+(K184*'Input Property 5'!K$51))*(L162/365))</f>
        <v>0</v>
      </c>
      <c r="M184" s="24">
        <f>IF(M162=0,0,(L184+(L184*'Input Property 5'!L$51))*(M162/365))</f>
        <v>0</v>
      </c>
      <c r="N184" s="24">
        <f>IF(N162=0,0,(M184+(M184*'Input Property 5'!M$51))*(N162/365))</f>
        <v>0</v>
      </c>
      <c r="O184" s="24">
        <f>IF(O162=0,0,(N184+(N184*'Input Property 5'!N$51))*(O162/365))</f>
        <v>0</v>
      </c>
      <c r="P184" s="24">
        <f>IF(P162=0,0,(O184+(O184*'Input Property 5'!O$51))*(P162/365))</f>
        <v>0</v>
      </c>
      <c r="Q184" s="24">
        <f>IF(Q162=0,0,(P184+(P184*'Input Property 5'!P$51))*(Q162/365))</f>
        <v>0</v>
      </c>
    </row>
    <row r="185" spans="1:17" x14ac:dyDescent="0.2">
      <c r="A185" s="17" t="str">
        <f>'Input Property 5'!A63</f>
        <v>Once Off Expenses</v>
      </c>
      <c r="B185" s="373"/>
      <c r="C185" s="24">
        <f>'Input Property 5'!B63</f>
        <v>50</v>
      </c>
      <c r="D185" s="24">
        <f>'Input Property 5'!C63</f>
        <v>0</v>
      </c>
      <c r="E185" s="24">
        <f>'Input Property 5'!D63</f>
        <v>0</v>
      </c>
      <c r="F185" s="24">
        <f>'Input Property 5'!E63</f>
        <v>0</v>
      </c>
      <c r="G185" s="24">
        <f>'Input Property 5'!F63</f>
        <v>0</v>
      </c>
      <c r="H185" s="24">
        <f>'Input Property 5'!G63</f>
        <v>0</v>
      </c>
      <c r="I185" s="24">
        <f>'Input Property 5'!H63</f>
        <v>0</v>
      </c>
      <c r="J185" s="24">
        <f>'Input Property 5'!I63</f>
        <v>0</v>
      </c>
      <c r="K185" s="24">
        <f>'Input Property 5'!J63</f>
        <v>0</v>
      </c>
      <c r="L185" s="24">
        <f>'Input Property 5'!K63</f>
        <v>0</v>
      </c>
      <c r="M185" s="24">
        <f>'Input Property 5'!L63</f>
        <v>0</v>
      </c>
      <c r="N185" s="24">
        <f>'Input Property 5'!M63</f>
        <v>0</v>
      </c>
      <c r="O185" s="24">
        <f>'Input Property 5'!N63</f>
        <v>0</v>
      </c>
      <c r="P185" s="24">
        <f>'Input Property 5'!O63</f>
        <v>0</v>
      </c>
      <c r="Q185" s="24">
        <f>'Input Property 5'!P63</f>
        <v>0</v>
      </c>
    </row>
    <row r="186" spans="1:17" x14ac:dyDescent="0.2">
      <c r="A186" s="35" t="s">
        <v>70</v>
      </c>
      <c r="B186" s="24"/>
      <c r="C186" s="24">
        <f t="shared" ref="C186:Q186" si="32">SUM(C169:C185)</f>
        <v>2595.3837573385522</v>
      </c>
      <c r="D186" s="24">
        <f t="shared" si="32"/>
        <v>5269.8098928571426</v>
      </c>
      <c r="E186" s="24">
        <f t="shared" si="32"/>
        <v>5410.6962601785717</v>
      </c>
      <c r="F186" s="24">
        <f t="shared" si="32"/>
        <v>5558.3109120973213</v>
      </c>
      <c r="G186" s="24">
        <f t="shared" si="32"/>
        <v>5710.0480839035399</v>
      </c>
      <c r="H186" s="24">
        <f t="shared" si="32"/>
        <v>5869.1478822591744</v>
      </c>
      <c r="I186" s="24">
        <f t="shared" si="32"/>
        <v>6026.3662247671273</v>
      </c>
      <c r="J186" s="24">
        <f t="shared" si="32"/>
        <v>6191.1941284935592</v>
      </c>
      <c r="K186" s="24">
        <f t="shared" si="32"/>
        <v>6360.6386359969065</v>
      </c>
      <c r="L186" s="24">
        <f t="shared" si="32"/>
        <v>6538.414992130869</v>
      </c>
      <c r="M186" s="24">
        <f t="shared" si="32"/>
        <v>6713.9124763581076</v>
      </c>
      <c r="N186" s="24">
        <f t="shared" si="32"/>
        <v>6898.0192526101964</v>
      </c>
      <c r="O186" s="24">
        <f t="shared" si="32"/>
        <v>7087.2977620205975</v>
      </c>
      <c r="P186" s="24">
        <f t="shared" si="32"/>
        <v>7286.0081853653746</v>
      </c>
      <c r="Q186" s="24">
        <f t="shared" si="32"/>
        <v>7481.9712499245488</v>
      </c>
    </row>
    <row r="187" spans="1:17" x14ac:dyDescent="0.2">
      <c r="A187" s="28" t="s">
        <v>49</v>
      </c>
      <c r="B187" s="24"/>
      <c r="C187" s="24">
        <f t="shared" ref="C187:Q187" si="33">C186+C167+C168</f>
        <v>6146.4138943248536</v>
      </c>
      <c r="D187" s="24">
        <f t="shared" si="33"/>
        <v>12739.218112035225</v>
      </c>
      <c r="E187" s="24">
        <f t="shared" si="33"/>
        <v>12859.696260178571</v>
      </c>
      <c r="F187" s="24">
        <f t="shared" si="33"/>
        <v>13007.31091209732</v>
      </c>
      <c r="G187" s="24">
        <f t="shared" si="33"/>
        <v>13159.048083903541</v>
      </c>
      <c r="H187" s="24">
        <f t="shared" si="33"/>
        <v>13338.556101437258</v>
      </c>
      <c r="I187" s="24">
        <f t="shared" si="33"/>
        <v>13475.366224767127</v>
      </c>
      <c r="J187" s="24">
        <f t="shared" si="33"/>
        <v>13640.19412849356</v>
      </c>
      <c r="K187" s="24">
        <f t="shared" si="33"/>
        <v>13809.638635996907</v>
      </c>
      <c r="L187" s="24">
        <f t="shared" si="33"/>
        <v>14007.823211308951</v>
      </c>
      <c r="M187" s="24">
        <f t="shared" si="33"/>
        <v>14162.912476358108</v>
      </c>
      <c r="N187" s="24">
        <f t="shared" si="33"/>
        <v>14347.019252610196</v>
      </c>
      <c r="O187" s="24">
        <f t="shared" si="33"/>
        <v>14536.297762020597</v>
      </c>
      <c r="P187" s="24">
        <f t="shared" si="33"/>
        <v>14755.416404543457</v>
      </c>
      <c r="Q187" s="24">
        <f t="shared" si="33"/>
        <v>14930.971249924549</v>
      </c>
    </row>
    <row r="188" spans="1:17" x14ac:dyDescent="0.2">
      <c r="A188" s="9" t="s">
        <v>13</v>
      </c>
      <c r="B188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</row>
    <row r="189" spans="1:17" x14ac:dyDescent="0.2">
      <c r="A189" s="25" t="s">
        <v>37</v>
      </c>
      <c r="B189" s="20"/>
      <c r="C189" s="24">
        <f t="shared" ref="C189:Q189" si="34">C165-C187</f>
        <v>-889.27103718199669</v>
      </c>
      <c r="D189" s="24">
        <f t="shared" si="34"/>
        <v>-768.7038263209397</v>
      </c>
      <c r="E189" s="24">
        <f t="shared" si="34"/>
        <v>-505.41136732142877</v>
      </c>
      <c r="F189" s="24">
        <f t="shared" si="34"/>
        <v>-220.62604799017936</v>
      </c>
      <c r="G189" s="24">
        <f t="shared" si="34"/>
        <v>75.170750447348837</v>
      </c>
      <c r="H189" s="24">
        <f t="shared" si="34"/>
        <v>397.88437073002387</v>
      </c>
      <c r="I189" s="24">
        <f t="shared" si="34"/>
        <v>701.45984606040111</v>
      </c>
      <c r="J189" s="24">
        <f t="shared" si="34"/>
        <v>1032.8208548129314</v>
      </c>
      <c r="K189" s="24">
        <f t="shared" si="34"/>
        <v>1376.9318717253118</v>
      </c>
      <c r="L189" s="24">
        <f t="shared" si="34"/>
        <v>1755.0581772191363</v>
      </c>
      <c r="M189" s="24">
        <f t="shared" si="34"/>
        <v>2105.3215157766244</v>
      </c>
      <c r="N189" s="24">
        <f t="shared" si="34"/>
        <v>2490.6029292492494</v>
      </c>
      <c r="O189" s="24">
        <f t="shared" si="34"/>
        <v>2890.641196203931</v>
      </c>
      <c r="P189" s="24">
        <f t="shared" si="34"/>
        <v>3332.8525449162535</v>
      </c>
      <c r="Q189" s="24">
        <f t="shared" si="34"/>
        <v>3737.2014355995179</v>
      </c>
    </row>
    <row r="190" spans="1:17" x14ac:dyDescent="0.2">
      <c r="A190" s="25" t="s">
        <v>172</v>
      </c>
      <c r="B190" s="20"/>
      <c r="C190" s="24">
        <f>(C189/(C162/7))</f>
        <v>-35.775271610769984</v>
      </c>
      <c r="D190" s="24">
        <f>D189/'Input Property 5'!$B$64</f>
        <v>-14.712034953510807</v>
      </c>
      <c r="E190" s="24">
        <f>E189/'Input Property 5'!$B$64</f>
        <v>-9.6729448291182543</v>
      </c>
      <c r="F190" s="24">
        <f>F189/'Input Property 5'!$B$64</f>
        <v>-4.222508095505825</v>
      </c>
      <c r="G190" s="24">
        <f>G189/'Input Property 5'!$B$64</f>
        <v>1.4386746497100256</v>
      </c>
      <c r="H190" s="24">
        <f>H189/'Input Property 5'!$B$64</f>
        <v>7.6150118800004574</v>
      </c>
      <c r="I190" s="24">
        <f>I189/'Input Property 5'!$B$64</f>
        <v>13.425068824122508</v>
      </c>
      <c r="J190" s="24">
        <f>J189/'Input Property 5'!$B$64</f>
        <v>19.766906312209215</v>
      </c>
      <c r="K190" s="24">
        <f>K189/'Input Property 5'!$B$64</f>
        <v>26.352763095221277</v>
      </c>
      <c r="L190" s="24">
        <f>L189/'Input Property 5'!$B$64</f>
        <v>33.58963018601218</v>
      </c>
      <c r="M190" s="24">
        <f>M189/'Input Property 5'!$B$64</f>
        <v>40.293234751705732</v>
      </c>
      <c r="N190" s="24">
        <f>N189/'Input Property 5'!$B$64</f>
        <v>47.667041708119605</v>
      </c>
      <c r="O190" s="24">
        <f>O189/'Input Property 5'!$B$64</f>
        <v>55.323276482371888</v>
      </c>
      <c r="P190" s="24">
        <f>P189/'Input Property 5'!$B$64</f>
        <v>63.786651577344564</v>
      </c>
      <c r="Q190" s="24">
        <f>Q189/'Input Property 5'!$B$64</f>
        <v>71.525386327263504</v>
      </c>
    </row>
    <row r="191" spans="1:17" x14ac:dyDescent="0.2">
      <c r="A191" s="29" t="s">
        <v>12</v>
      </c>
      <c r="B191" s="20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</row>
    <row r="192" spans="1:17" x14ac:dyDescent="0.2">
      <c r="A192" s="17" t="s">
        <v>53</v>
      </c>
      <c r="B192" s="10"/>
      <c r="C192" s="24">
        <f t="shared" ref="C192:Q192" si="35">C167+C168</f>
        <v>3551.0301369863014</v>
      </c>
      <c r="D192" s="24">
        <f t="shared" si="35"/>
        <v>7469.4082191780826</v>
      </c>
      <c r="E192" s="24">
        <f t="shared" si="35"/>
        <v>7449</v>
      </c>
      <c r="F192" s="24">
        <f t="shared" si="35"/>
        <v>7449</v>
      </c>
      <c r="G192" s="24">
        <f t="shared" si="35"/>
        <v>7449</v>
      </c>
      <c r="H192" s="24">
        <f t="shared" si="35"/>
        <v>7469.4082191780826</v>
      </c>
      <c r="I192" s="24">
        <f t="shared" si="35"/>
        <v>7449</v>
      </c>
      <c r="J192" s="24">
        <f t="shared" si="35"/>
        <v>7449</v>
      </c>
      <c r="K192" s="24">
        <f t="shared" si="35"/>
        <v>7449</v>
      </c>
      <c r="L192" s="24">
        <f t="shared" si="35"/>
        <v>7469.4082191780826</v>
      </c>
      <c r="M192" s="24">
        <f t="shared" si="35"/>
        <v>7449</v>
      </c>
      <c r="N192" s="24">
        <f t="shared" si="35"/>
        <v>7449</v>
      </c>
      <c r="O192" s="24">
        <f t="shared" si="35"/>
        <v>7449</v>
      </c>
      <c r="P192" s="24">
        <f t="shared" si="35"/>
        <v>7469.4082191780826</v>
      </c>
      <c r="Q192" s="24">
        <f t="shared" si="35"/>
        <v>7449</v>
      </c>
    </row>
    <row r="193" spans="1:17" x14ac:dyDescent="0.2">
      <c r="A193" s="17" t="s">
        <v>52</v>
      </c>
      <c r="B193" s="15"/>
      <c r="C193" s="24">
        <f t="shared" ref="C193:Q193" si="36">C186</f>
        <v>2595.3837573385522</v>
      </c>
      <c r="D193" s="24">
        <f t="shared" si="36"/>
        <v>5269.8098928571426</v>
      </c>
      <c r="E193" s="24">
        <f t="shared" si="36"/>
        <v>5410.6962601785717</v>
      </c>
      <c r="F193" s="24">
        <f t="shared" si="36"/>
        <v>5558.3109120973213</v>
      </c>
      <c r="G193" s="24">
        <f t="shared" si="36"/>
        <v>5710.0480839035399</v>
      </c>
      <c r="H193" s="24">
        <f t="shared" si="36"/>
        <v>5869.1478822591744</v>
      </c>
      <c r="I193" s="24">
        <f t="shared" si="36"/>
        <v>6026.3662247671273</v>
      </c>
      <c r="J193" s="24">
        <f t="shared" si="36"/>
        <v>6191.1941284935592</v>
      </c>
      <c r="K193" s="24">
        <f t="shared" si="36"/>
        <v>6360.6386359969065</v>
      </c>
      <c r="L193" s="24">
        <f t="shared" si="36"/>
        <v>6538.414992130869</v>
      </c>
      <c r="M193" s="24">
        <f t="shared" si="36"/>
        <v>6713.9124763581076</v>
      </c>
      <c r="N193" s="24">
        <f t="shared" si="36"/>
        <v>6898.0192526101964</v>
      </c>
      <c r="O193" s="24">
        <f t="shared" si="36"/>
        <v>7087.2977620205975</v>
      </c>
      <c r="P193" s="24">
        <f t="shared" si="36"/>
        <v>7286.0081853653746</v>
      </c>
      <c r="Q193" s="24">
        <f t="shared" si="36"/>
        <v>7481.9712499245488</v>
      </c>
    </row>
    <row r="194" spans="1:17" x14ac:dyDescent="0.2">
      <c r="A194" s="36" t="s">
        <v>47</v>
      </c>
      <c r="B194" s="24"/>
      <c r="C194" s="24">
        <f t="shared" ref="C194:Q194" si="37">SUM(C192:C193)</f>
        <v>6146.4138943248536</v>
      </c>
      <c r="D194" s="24">
        <f t="shared" si="37"/>
        <v>12739.218112035225</v>
      </c>
      <c r="E194" s="24">
        <f t="shared" si="37"/>
        <v>12859.696260178571</v>
      </c>
      <c r="F194" s="24">
        <f t="shared" si="37"/>
        <v>13007.31091209732</v>
      </c>
      <c r="G194" s="24">
        <f t="shared" si="37"/>
        <v>13159.048083903541</v>
      </c>
      <c r="H194" s="24">
        <f t="shared" si="37"/>
        <v>13338.556101437258</v>
      </c>
      <c r="I194" s="24">
        <f t="shared" si="37"/>
        <v>13475.366224767127</v>
      </c>
      <c r="J194" s="24">
        <f t="shared" si="37"/>
        <v>13640.19412849356</v>
      </c>
      <c r="K194" s="24">
        <f t="shared" si="37"/>
        <v>13809.638635996907</v>
      </c>
      <c r="L194" s="24">
        <f t="shared" si="37"/>
        <v>14007.823211308951</v>
      </c>
      <c r="M194" s="24">
        <f t="shared" si="37"/>
        <v>14162.912476358108</v>
      </c>
      <c r="N194" s="24">
        <f t="shared" si="37"/>
        <v>14347.019252610196</v>
      </c>
      <c r="O194" s="24">
        <f t="shared" si="37"/>
        <v>14536.297762020597</v>
      </c>
      <c r="P194" s="24">
        <f t="shared" si="37"/>
        <v>14755.416404543457</v>
      </c>
      <c r="Q194" s="24">
        <f t="shared" si="37"/>
        <v>14930.971249924549</v>
      </c>
    </row>
    <row r="195" spans="1:17" x14ac:dyDescent="0.2">
      <c r="A195" s="9" t="s">
        <v>14</v>
      </c>
      <c r="B195"/>
      <c r="C195" s="24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1:17" x14ac:dyDescent="0.2">
      <c r="A196" s="23" t="s">
        <v>45</v>
      </c>
      <c r="B196" s="24">
        <f>'Input Property 5'!$K$13</f>
        <v>1810</v>
      </c>
      <c r="C196" s="24">
        <f>'Data Property 5'!B196/5</f>
        <v>362</v>
      </c>
      <c r="D196" s="24">
        <f>C196</f>
        <v>362</v>
      </c>
      <c r="E196" s="24">
        <f>D196</f>
        <v>362</v>
      </c>
      <c r="F196" s="24">
        <f>E196</f>
        <v>362</v>
      </c>
      <c r="G196" s="24">
        <f>F196</f>
        <v>362</v>
      </c>
      <c r="H196"/>
      <c r="I196"/>
      <c r="J196"/>
      <c r="K196"/>
      <c r="L196"/>
      <c r="M196"/>
      <c r="N196"/>
      <c r="O196"/>
      <c r="P196"/>
      <c r="Q196"/>
    </row>
    <row r="197" spans="1:17" x14ac:dyDescent="0.2">
      <c r="A197" s="22" t="s">
        <v>15</v>
      </c>
      <c r="B197" s="10">
        <f>'Tax Table'!$C$3</f>
        <v>2.5000000000000001E-2</v>
      </c>
      <c r="C197" s="24">
        <f>IF(C162=0,0,'Input Property 5'!B61)</f>
        <v>0</v>
      </c>
      <c r="D197" s="24">
        <f>IF(D162=0,0,'Input Property 5'!C61)</f>
        <v>0</v>
      </c>
      <c r="E197" s="24">
        <f>IF(E162=0,0,'Input Property 5'!D61)</f>
        <v>0</v>
      </c>
      <c r="F197" s="24">
        <f>IF(F162=0,0,'Input Property 5'!E61)</f>
        <v>0</v>
      </c>
      <c r="G197" s="24">
        <f>IF(G162=0,0,'Input Property 5'!F61)</f>
        <v>0</v>
      </c>
      <c r="H197" s="24">
        <f>IF(H162=0,0,'Input Property 5'!G61)</f>
        <v>0</v>
      </c>
      <c r="I197" s="24">
        <f>IF(I162=0,0,'Input Property 5'!H61)</f>
        <v>0</v>
      </c>
      <c r="J197" s="24">
        <f>IF(J162=0,0,'Input Property 5'!I61)</f>
        <v>0</v>
      </c>
      <c r="K197" s="24">
        <f>IF(K162=0,0,'Input Property 5'!J61)</f>
        <v>0</v>
      </c>
      <c r="L197" s="24">
        <f>IF(L162=0,0,'Input Property 5'!K61)</f>
        <v>0</v>
      </c>
      <c r="M197" s="24">
        <f>IF(M162=0,0,'Input Property 5'!L61)</f>
        <v>0</v>
      </c>
      <c r="N197" s="24">
        <f>IF(N162=0,0,'Input Property 5'!M61)</f>
        <v>0</v>
      </c>
      <c r="O197" s="24">
        <f>IF(O162=0,0,'Input Property 5'!N61)</f>
        <v>0</v>
      </c>
      <c r="P197" s="24">
        <f>IF(P162=0,0,'Input Property 5'!O61)</f>
        <v>0</v>
      </c>
      <c r="Q197" s="24">
        <f>IF(Q162=0,0,'Input Property 5'!P61)</f>
        <v>0</v>
      </c>
    </row>
    <row r="198" spans="1:17" x14ac:dyDescent="0.2">
      <c r="A198" s="22" t="s">
        <v>114</v>
      </c>
      <c r="B198" s="27">
        <f>'Input Property 5'!$B$35</f>
        <v>5000</v>
      </c>
      <c r="C198" s="24">
        <f>IF(C162=0,0,IF('Input Property 5'!B62&gt;0,'Input Property 5'!B62,IF('Input Property 5'!$B$62=0,'Data Property 5'!B199*0.3,'Input Property 5'!B62)))</f>
        <v>1500</v>
      </c>
      <c r="D198" s="24">
        <f>IF(D162=0,0,IF('Input Property 5'!C62&gt;0,'Input Property 5'!C62,IF('Input Property 5'!$B$62=0,C199*0.3,'Input Property 5'!C62)))</f>
        <v>1050</v>
      </c>
      <c r="E198" s="24">
        <f>IF(E162=0,0,IF('Input Property 5'!D62&gt;0,'Input Property 5'!D62,IF('Input Property 5'!$B$62=0,D199*0.3,'Input Property 5'!D62)))</f>
        <v>735</v>
      </c>
      <c r="F198" s="24">
        <f>IF(F162=0,0,IF('Input Property 5'!E62&gt;0,'Input Property 5'!E62,IF('Input Property 5'!$B$62=0,E199*0.3,'Input Property 5'!E62)))</f>
        <v>514.5</v>
      </c>
      <c r="G198" s="24">
        <f>IF(G162=0,0,IF('Input Property 5'!F62&gt;0,'Input Property 5'!F62,IF('Input Property 5'!$B$62=0,F199*0.3,'Input Property 5'!F62)))</f>
        <v>360.15</v>
      </c>
      <c r="H198" s="24">
        <f>IF(H162=0,0,IF('Input Property 5'!G62&gt;0,'Input Property 5'!G62,IF('Input Property 5'!$B$62=0,G199*0.3,'Input Property 5'!G62)))</f>
        <v>252.10499999999999</v>
      </c>
      <c r="I198" s="24">
        <f>IF(I162=0,0,IF('Input Property 5'!H62&gt;0,'Input Property 5'!H62,IF('Input Property 5'!$B$62=0,H199*0.3,'Input Property 5'!H62)))</f>
        <v>176.4735</v>
      </c>
      <c r="J198" s="24">
        <f>IF(J162=0,0,IF('Input Property 5'!I62&gt;0,'Input Property 5'!I62,IF('Input Property 5'!$B$62=0,I199*0.3,'Input Property 5'!I62)))</f>
        <v>123.53144999999999</v>
      </c>
      <c r="K198" s="24">
        <f>IF(K162=0,0,IF('Input Property 5'!J62&gt;0,'Input Property 5'!J62,IF('Input Property 5'!$B$62=0,J199*0.3,'Input Property 5'!J62)))</f>
        <v>86.472014999999999</v>
      </c>
      <c r="L198" s="24">
        <f>IF(L162=0,0,IF('Input Property 5'!K62&gt;0,'Input Property 5'!K62,IF('Input Property 5'!$B$62=0,K199*0.3,'Input Property 5'!K62)))</f>
        <v>60.530410499999995</v>
      </c>
      <c r="M198" s="24">
        <f>IF(M162=0,0,IF('Input Property 5'!L62&gt;0,'Input Property 5'!L62,IF('Input Property 5'!$B$62=0,L199*0.3,'Input Property 5'!L62)))</f>
        <v>42.371287350000003</v>
      </c>
      <c r="N198" s="24">
        <f>IF(N162=0,0,IF('Input Property 5'!M62&gt;0,'Input Property 5'!M62,IF('Input Property 5'!$B$62=0,M199*0.3,'Input Property 5'!M62)))</f>
        <v>29.659901144999999</v>
      </c>
      <c r="O198" s="24">
        <f>IF(O162=0,0,IF('Input Property 5'!N62&gt;0,'Input Property 5'!N62,IF('Input Property 5'!$B$62=0,N199*0.3,'Input Property 5'!N62)))</f>
        <v>20.7619308015</v>
      </c>
      <c r="P198" s="24">
        <f>IF(P162=0,0,IF('Input Property 5'!O62&gt;0,'Input Property 5'!O62,IF('Input Property 5'!$B$62=0,O199*0.3,'Input Property 5'!O62)))</f>
        <v>14.533351561049999</v>
      </c>
      <c r="Q198" s="24">
        <f>IF(Q162=0,0,IF('Input Property 5'!P62&gt;0,'Input Property 5'!P62,IF('Input Property 5'!$B$62=0,P199*0.3,'Input Property 5'!P62)))</f>
        <v>10.173346092735001</v>
      </c>
    </row>
    <row r="199" spans="1:17" x14ac:dyDescent="0.2">
      <c r="A199" s="22"/>
      <c r="B199" s="27">
        <f>B198</f>
        <v>5000</v>
      </c>
      <c r="C199" s="24">
        <f>'Data Property 5'!B199-C198</f>
        <v>3500</v>
      </c>
      <c r="D199" s="24">
        <f t="shared" ref="D199:Q199" si="38">C199-D198</f>
        <v>2450</v>
      </c>
      <c r="E199" s="24">
        <f t="shared" si="38"/>
        <v>1715</v>
      </c>
      <c r="F199" s="24">
        <f t="shared" si="38"/>
        <v>1200.5</v>
      </c>
      <c r="G199" s="24">
        <f t="shared" si="38"/>
        <v>840.35</v>
      </c>
      <c r="H199" s="24">
        <f t="shared" si="38"/>
        <v>588.245</v>
      </c>
      <c r="I199" s="24">
        <f t="shared" si="38"/>
        <v>411.7715</v>
      </c>
      <c r="J199" s="24">
        <f t="shared" si="38"/>
        <v>288.24005</v>
      </c>
      <c r="K199" s="24">
        <f t="shared" si="38"/>
        <v>201.768035</v>
      </c>
      <c r="L199" s="24">
        <f t="shared" si="38"/>
        <v>141.23762450000001</v>
      </c>
      <c r="M199" s="24">
        <f t="shared" si="38"/>
        <v>98.866337150000007</v>
      </c>
      <c r="N199" s="24">
        <f t="shared" si="38"/>
        <v>69.206436005</v>
      </c>
      <c r="O199" s="24">
        <f t="shared" si="38"/>
        <v>48.4445052035</v>
      </c>
      <c r="P199" s="24">
        <f t="shared" si="38"/>
        <v>33.911153642450003</v>
      </c>
      <c r="Q199" s="24">
        <f t="shared" si="38"/>
        <v>23.737807549715001</v>
      </c>
    </row>
    <row r="200" spans="1:17" x14ac:dyDescent="0.2">
      <c r="A200" s="28" t="s">
        <v>48</v>
      </c>
      <c r="B200" s="27"/>
      <c r="C200" s="24">
        <f t="shared" ref="C200:Q200" si="39">SUM(C196:C198)</f>
        <v>1862</v>
      </c>
      <c r="D200" s="24">
        <f t="shared" si="39"/>
        <v>1412</v>
      </c>
      <c r="E200" s="24">
        <f t="shared" si="39"/>
        <v>1097</v>
      </c>
      <c r="F200" s="24">
        <f t="shared" si="39"/>
        <v>876.5</v>
      </c>
      <c r="G200" s="24">
        <f t="shared" si="39"/>
        <v>722.15</v>
      </c>
      <c r="H200" s="24">
        <f t="shared" si="39"/>
        <v>252.10499999999999</v>
      </c>
      <c r="I200" s="24">
        <f t="shared" si="39"/>
        <v>176.4735</v>
      </c>
      <c r="J200" s="24">
        <f t="shared" si="39"/>
        <v>123.53144999999999</v>
      </c>
      <c r="K200" s="24">
        <f t="shared" si="39"/>
        <v>86.472014999999999</v>
      </c>
      <c r="L200" s="24">
        <f t="shared" si="39"/>
        <v>60.530410499999995</v>
      </c>
      <c r="M200" s="24">
        <f t="shared" si="39"/>
        <v>42.371287350000003</v>
      </c>
      <c r="N200" s="24">
        <f t="shared" si="39"/>
        <v>29.659901144999999</v>
      </c>
      <c r="O200" s="24">
        <f t="shared" si="39"/>
        <v>20.7619308015</v>
      </c>
      <c r="P200" s="24">
        <f t="shared" si="39"/>
        <v>14.533351561049999</v>
      </c>
      <c r="Q200" s="24">
        <f t="shared" si="39"/>
        <v>10.173346092735001</v>
      </c>
    </row>
    <row r="201" spans="1:17" x14ac:dyDescent="0.2">
      <c r="A201" s="37" t="s">
        <v>40</v>
      </c>
      <c r="B201" s="20"/>
      <c r="C201" s="24">
        <f t="shared" ref="C201:Q201" si="40">C194+C200</f>
        <v>8008.4138943248536</v>
      </c>
      <c r="D201" s="24">
        <f t="shared" si="40"/>
        <v>14151.218112035225</v>
      </c>
      <c r="E201" s="24">
        <f t="shared" si="40"/>
        <v>13956.696260178571</v>
      </c>
      <c r="F201" s="24">
        <f t="shared" si="40"/>
        <v>13883.81091209732</v>
      </c>
      <c r="G201" s="24">
        <f t="shared" si="40"/>
        <v>13881.19808390354</v>
      </c>
      <c r="H201" s="24">
        <f t="shared" si="40"/>
        <v>13590.661101437257</v>
      </c>
      <c r="I201" s="24">
        <f t="shared" si="40"/>
        <v>13651.839724767127</v>
      </c>
      <c r="J201" s="24">
        <f t="shared" si="40"/>
        <v>13763.725578493561</v>
      </c>
      <c r="K201" s="24">
        <f t="shared" si="40"/>
        <v>13896.110650996907</v>
      </c>
      <c r="L201" s="24">
        <f t="shared" si="40"/>
        <v>14068.35362180895</v>
      </c>
      <c r="M201" s="24">
        <f t="shared" si="40"/>
        <v>14205.283763708108</v>
      </c>
      <c r="N201" s="24">
        <f t="shared" si="40"/>
        <v>14376.679153755196</v>
      </c>
      <c r="O201" s="24">
        <f t="shared" si="40"/>
        <v>14557.059692822097</v>
      </c>
      <c r="P201" s="24">
        <f t="shared" si="40"/>
        <v>14769.949756104506</v>
      </c>
      <c r="Q201" s="24">
        <f t="shared" si="40"/>
        <v>14941.144596017284</v>
      </c>
    </row>
    <row r="202" spans="1:17" x14ac:dyDescent="0.2">
      <c r="A202" s="37" t="s">
        <v>115</v>
      </c>
      <c r="B202" s="20"/>
      <c r="C202" s="24">
        <f t="shared" ref="C202:Q202" si="41">C165-C201</f>
        <v>-2751.2710371819967</v>
      </c>
      <c r="D202" s="24">
        <f t="shared" si="41"/>
        <v>-2180.7038263209397</v>
      </c>
      <c r="E202" s="24">
        <f t="shared" si="41"/>
        <v>-1602.4113673214288</v>
      </c>
      <c r="F202" s="24">
        <f t="shared" si="41"/>
        <v>-1097.1260479901794</v>
      </c>
      <c r="G202" s="24">
        <f t="shared" si="41"/>
        <v>-646.9792495526508</v>
      </c>
      <c r="H202" s="24">
        <f t="shared" si="41"/>
        <v>145.77937073002431</v>
      </c>
      <c r="I202" s="24">
        <f t="shared" si="41"/>
        <v>524.98634606040105</v>
      </c>
      <c r="J202" s="24">
        <f t="shared" si="41"/>
        <v>909.28940481293102</v>
      </c>
      <c r="K202" s="24">
        <f t="shared" si="41"/>
        <v>1290.4598567253124</v>
      </c>
      <c r="L202" s="24">
        <f t="shared" si="41"/>
        <v>1694.5277667191367</v>
      </c>
      <c r="M202" s="24">
        <f t="shared" si="41"/>
        <v>2062.9502284266237</v>
      </c>
      <c r="N202" s="24">
        <f t="shared" si="41"/>
        <v>2460.9430281042496</v>
      </c>
      <c r="O202" s="24">
        <f t="shared" si="41"/>
        <v>2869.879265402431</v>
      </c>
      <c r="P202" s="24">
        <f t="shared" si="41"/>
        <v>3318.3191933552043</v>
      </c>
      <c r="Q202" s="24">
        <f t="shared" si="41"/>
        <v>3727.0280895067826</v>
      </c>
    </row>
    <row r="203" spans="1:17" x14ac:dyDescent="0.2">
      <c r="A203" s="21" t="s">
        <v>42</v>
      </c>
      <c r="B203" s="20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</row>
    <row r="204" spans="1:17" x14ac:dyDescent="0.2">
      <c r="A204" s="37" t="s">
        <v>78</v>
      </c>
      <c r="B204" s="20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</row>
    <row r="205" spans="1:17" x14ac:dyDescent="0.2">
      <c r="A205" s="26" t="s">
        <v>79</v>
      </c>
      <c r="B205" s="15">
        <f>'Input Property 5'!B26</f>
        <v>1</v>
      </c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</row>
    <row r="206" spans="1:17" x14ac:dyDescent="0.2">
      <c r="A206" s="38" t="s">
        <v>74</v>
      </c>
      <c r="B206"/>
      <c r="C206" s="24">
        <f>'Input Property 5'!B46</f>
        <v>123000</v>
      </c>
      <c r="D206" s="24">
        <f>'Input Property 5'!C46</f>
        <v>125460</v>
      </c>
      <c r="E206" s="24">
        <f>'Input Property 5'!D46</f>
        <v>127969.2</v>
      </c>
      <c r="F206" s="24">
        <f>'Input Property 5'!E46</f>
        <v>130528.584</v>
      </c>
      <c r="G206" s="24">
        <f>'Input Property 5'!F46</f>
        <v>133139.15568</v>
      </c>
      <c r="H206" s="24">
        <f>'Input Property 5'!G46</f>
        <v>135801.93879360001</v>
      </c>
      <c r="I206" s="24">
        <f>'Input Property 5'!H46</f>
        <v>138517.97756947202</v>
      </c>
      <c r="J206" s="24">
        <f>'Input Property 5'!I46</f>
        <v>141288.33712086146</v>
      </c>
      <c r="K206" s="24">
        <f>'Input Property 5'!J46</f>
        <v>144114.10386327869</v>
      </c>
      <c r="L206" s="24">
        <f>'Input Property 5'!K46</f>
        <v>146996.38594054428</v>
      </c>
      <c r="M206" s="24">
        <f>'Input Property 5'!L46</f>
        <v>149936.31365935516</v>
      </c>
      <c r="N206" s="24">
        <f>'Input Property 5'!M46</f>
        <v>152935.03993254228</v>
      </c>
      <c r="O206" s="24">
        <f>'Input Property 5'!N46</f>
        <v>155993.74073119313</v>
      </c>
      <c r="P206" s="24">
        <f>'Input Property 5'!O46</f>
        <v>159113.61554581701</v>
      </c>
      <c r="Q206" s="24">
        <f>'Input Property 5'!P46</f>
        <v>162295.88785673334</v>
      </c>
    </row>
    <row r="207" spans="1:17" x14ac:dyDescent="0.2">
      <c r="A207" s="38" t="s">
        <v>76</v>
      </c>
      <c r="B207"/>
      <c r="C207" s="24">
        <f>'Tax Table'!G12</f>
        <v>33456.114999999998</v>
      </c>
      <c r="D207" s="63">
        <f>'Tax Table'!G23</f>
        <v>34366.315000000002</v>
      </c>
      <c r="E207" s="63">
        <f>'Tax Table'!G33</f>
        <v>35294.718999999997</v>
      </c>
      <c r="F207" s="63">
        <f>'Tax Table'!G43</f>
        <v>36241.691080000004</v>
      </c>
      <c r="G207" s="24">
        <f>'Tax Table'!G53</f>
        <v>37207.602601599996</v>
      </c>
      <c r="H207" s="24">
        <f>'Tax Table'!G63</f>
        <v>38192.832353632009</v>
      </c>
      <c r="I207" s="24">
        <f>'Tax Table'!G73</f>
        <v>39197.766700704648</v>
      </c>
      <c r="J207" s="24">
        <f>'Tax Table'!G83</f>
        <v>40222.799734718734</v>
      </c>
      <c r="K207" s="24">
        <f>'Tax Table'!G93</f>
        <v>41268.33342941312</v>
      </c>
      <c r="L207" s="24">
        <f>'Tax Table'!G103</f>
        <v>42334.777798001378</v>
      </c>
      <c r="M207" s="24">
        <f>'Tax Table'!G113</f>
        <v>43422.551053961412</v>
      </c>
      <c r="N207" s="24">
        <f>'Tax Table'!G123</f>
        <v>44532.079775040642</v>
      </c>
      <c r="O207" s="24">
        <f>'Tax Table'!G133</f>
        <v>45663.799070541456</v>
      </c>
      <c r="P207" s="24">
        <f>'Tax Table'!G143</f>
        <v>46818.152751952293</v>
      </c>
      <c r="Q207" s="24">
        <f>'Tax Table'!G153</f>
        <v>47995.593506991339</v>
      </c>
    </row>
    <row r="208" spans="1:17" x14ac:dyDescent="0.2">
      <c r="A208" s="26" t="s">
        <v>41</v>
      </c>
      <c r="B208" s="20"/>
      <c r="C208" s="24">
        <f>C202*'Data Property 5'!$B$205</f>
        <v>-2751.2710371819967</v>
      </c>
      <c r="D208" s="24">
        <f>D202*'Data Property 5'!$B$205</f>
        <v>-2180.7038263209397</v>
      </c>
      <c r="E208" s="24">
        <f>E202*'Data Property 5'!$B$205</f>
        <v>-1602.4113673214288</v>
      </c>
      <c r="F208" s="24">
        <f>F202*'Data Property 5'!$B$205</f>
        <v>-1097.1260479901794</v>
      </c>
      <c r="G208" s="24">
        <f>G202*'Data Property 5'!$B$205</f>
        <v>-646.9792495526508</v>
      </c>
      <c r="H208" s="24">
        <f>H202*'Data Property 5'!$B$205</f>
        <v>145.77937073002431</v>
      </c>
      <c r="I208" s="24">
        <f>I202*'Data Property 5'!$B$205</f>
        <v>524.98634606040105</v>
      </c>
      <c r="J208" s="24">
        <f>J202*'Data Property 5'!$B$205</f>
        <v>909.28940481293102</v>
      </c>
      <c r="K208" s="24">
        <f>K202*'Data Property 5'!$B$205</f>
        <v>1290.4598567253124</v>
      </c>
      <c r="L208" s="24">
        <f>L202*'Data Property 5'!$B$205</f>
        <v>1694.5277667191367</v>
      </c>
      <c r="M208" s="24">
        <f>M202*'Data Property 5'!$B$205</f>
        <v>2062.9502284266237</v>
      </c>
      <c r="N208" s="24">
        <f>N202*'Data Property 5'!$B$205</f>
        <v>2460.9430281042496</v>
      </c>
      <c r="O208" s="24">
        <f>O202*'Data Property 5'!$B$205</f>
        <v>2869.879265402431</v>
      </c>
      <c r="P208" s="24">
        <f>P202*'Data Property 5'!$B$205</f>
        <v>3318.3191933552043</v>
      </c>
      <c r="Q208" s="24">
        <f>Q202*'Data Property 5'!$B$205</f>
        <v>3727.0280895067826</v>
      </c>
    </row>
    <row r="209" spans="1:17" x14ac:dyDescent="0.2">
      <c r="A209" s="38" t="s">
        <v>75</v>
      </c>
      <c r="B209"/>
      <c r="C209" s="24">
        <f>IF(C161&lt;'Input Property 5'!$B$33,C206+C208,C206+C208+C236)</f>
        <v>120248.728962818</v>
      </c>
      <c r="D209" s="24">
        <f>IF(C161&lt;'Input Property 5'!$B$33,IF(D161&lt;'Input Property 5'!$B$33,D206+D208,D206+D208+D236),D206)</f>
        <v>123279.29617367906</v>
      </c>
      <c r="E209" s="24">
        <f>IF(D161&lt;'Input Property 5'!$B$33,IF(E161&lt;'Input Property 5'!$B$33,E206+E208,E206+E208+E236),E206)</f>
        <v>126366.78863267857</v>
      </c>
      <c r="F209" s="24">
        <f>IF(E161&lt;'Input Property 5'!$B$33,IF(F161&lt;'Input Property 5'!$B$33,F206+F208,F206+F208+F236),F206)</f>
        <v>129431.45795200982</v>
      </c>
      <c r="G209" s="24">
        <f>IF(F161&lt;'Input Property 5'!$B$33,IF(G161&lt;'Input Property 5'!$B$33,G206+G208,G206+G208+G236),G206)</f>
        <v>132492.17643044735</v>
      </c>
      <c r="H209" s="24">
        <f>IF(G161&lt;'Input Property 5'!$B$33,IF(H161&lt;'Input Property 5'!$B$33,H206+H208,H206+H208+H236),H206)</f>
        <v>135947.71816433003</v>
      </c>
      <c r="I209" s="24">
        <f>IF(H161&lt;'Input Property 5'!$B$33,IF(I161&lt;'Input Property 5'!$B$33,I206+I208,I206+I208+I236),I206)</f>
        <v>139042.96391553243</v>
      </c>
      <c r="J209" s="24">
        <f>IF(I161&lt;'Input Property 5'!$B$33,IF(J161&lt;'Input Property 5'!$B$33,J206+J208,J206+J208+J236),J206)</f>
        <v>142197.62652567439</v>
      </c>
      <c r="K209" s="24">
        <f>IF(J161&lt;'Input Property 5'!$B$33,IF(K161&lt;'Input Property 5'!$B$33,K206+K208,K206+K208+K236),K206)</f>
        <v>145404.56372000399</v>
      </c>
      <c r="L209" s="24">
        <f>IF(K161&lt;'Input Property 5'!$B$33,IF(L161&lt;'Input Property 5'!$B$33,L206+L208,L206+L208+L236),L206)</f>
        <v>148690.91370726342</v>
      </c>
      <c r="M209" s="24">
        <f>IF(L161&lt;'Input Property 5'!$B$33,IF(M161&lt;'Input Property 5'!$B$33,M206+M208,M206+M208+M236),M206)</f>
        <v>151999.2638877818</v>
      </c>
      <c r="N209" s="24">
        <f>IF(M161&lt;'Input Property 5'!$B$33,IF(N161&lt;'Input Property 5'!$B$33,N206+N208,N206+N208+N236),N206)</f>
        <v>155395.98296064654</v>
      </c>
      <c r="O209" s="24">
        <f>IF(N161&lt;'Input Property 5'!$B$33,IF(O161&lt;'Input Property 5'!$B$33,O206+O208,O206+O208+O236),O206)</f>
        <v>158863.61999659557</v>
      </c>
      <c r="P209" s="24">
        <f>IF(O161&lt;'Input Property 5'!$B$33,IF(P161&lt;'Input Property 5'!$B$33,P206+P208,P206+P208+P236),P206)</f>
        <v>162431.93473917223</v>
      </c>
      <c r="Q209" s="24">
        <f>IF(P161&lt;'Input Property 5'!$B$33,IF(Q161&lt;'Input Property 5'!$B$33,Q206+Q208,Q206+Q208+Q236),Q206)</f>
        <v>166022.91594624013</v>
      </c>
    </row>
    <row r="210" spans="1:17" x14ac:dyDescent="0.2">
      <c r="A210" s="38" t="s">
        <v>77</v>
      </c>
      <c r="B210"/>
      <c r="C210" s="24">
        <f>'Tax Table'!H12</f>
        <v>32352.368616183954</v>
      </c>
      <c r="D210" s="63">
        <f>'Tax Table'!H23</f>
        <v>33130.679630721621</v>
      </c>
      <c r="E210" s="24">
        <f>'Tax Table'!H33</f>
        <v>34196.449798365175</v>
      </c>
      <c r="F210" s="24">
        <f>'Tax Table'!H43</f>
        <v>35267.893639862647</v>
      </c>
      <c r="G210" s="24">
        <f>'Tax Table'!H53</f>
        <v>36349.175663226393</v>
      </c>
      <c r="H210" s="24">
        <f>'Tax Table'!H63</f>
        <v>37514.23194346972</v>
      </c>
      <c r="I210" s="24">
        <f>'Tax Table'!H73</f>
        <v>38623.79492318078</v>
      </c>
      <c r="J210" s="24">
        <f>'Tax Table'!H83</f>
        <v>39755.554043107128</v>
      </c>
      <c r="K210" s="24">
        <f>'Tax Table'!H93</f>
        <v>40908.497432896009</v>
      </c>
      <c r="L210" s="24">
        <f>'Tax Table'!H103</f>
        <v>42088.271204551362</v>
      </c>
      <c r="M210" s="24">
        <f>'Tax Table'!H113</f>
        <v>43283.381543895208</v>
      </c>
      <c r="N210" s="24">
        <f>'Tax Table'!H123</f>
        <v>44507.495533255453</v>
      </c>
      <c r="O210" s="24">
        <f>'Tax Table'!H133</f>
        <v>45757.275875182058</v>
      </c>
      <c r="P210" s="24">
        <f>'Tax Table'!H143</f>
        <v>47039.383585117554</v>
      </c>
      <c r="Q210" s="24">
        <f>'Tax Table'!H153</f>
        <v>48337.019010134041</v>
      </c>
    </row>
    <row r="211" spans="1:17" x14ac:dyDescent="0.2">
      <c r="A211" s="26" t="s">
        <v>71</v>
      </c>
      <c r="B211" s="20"/>
      <c r="C211" s="24">
        <f t="shared" ref="C211:Q211" si="42">C207-C210</f>
        <v>1103.7463838160438</v>
      </c>
      <c r="D211" s="24">
        <f t="shared" si="42"/>
        <v>1235.6353692783814</v>
      </c>
      <c r="E211" s="24">
        <f t="shared" si="42"/>
        <v>1098.2692016348228</v>
      </c>
      <c r="F211" s="24">
        <f t="shared" si="42"/>
        <v>973.79744013735763</v>
      </c>
      <c r="G211" s="24">
        <f t="shared" si="42"/>
        <v>858.42693837360275</v>
      </c>
      <c r="H211" s="24">
        <f t="shared" si="42"/>
        <v>678.60041016228934</v>
      </c>
      <c r="I211" s="24">
        <f t="shared" si="42"/>
        <v>573.97177752386779</v>
      </c>
      <c r="J211" s="24">
        <f t="shared" si="42"/>
        <v>467.24569161160616</v>
      </c>
      <c r="K211" s="24">
        <f t="shared" si="42"/>
        <v>359.8359965171112</v>
      </c>
      <c r="L211" s="24">
        <f t="shared" si="42"/>
        <v>246.50659345001623</v>
      </c>
      <c r="M211" s="24">
        <f t="shared" si="42"/>
        <v>139.16951006620366</v>
      </c>
      <c r="N211" s="24">
        <f t="shared" si="42"/>
        <v>24.584241785189079</v>
      </c>
      <c r="O211" s="24">
        <f t="shared" si="42"/>
        <v>-93.476804640602495</v>
      </c>
      <c r="P211" s="24">
        <f t="shared" si="42"/>
        <v>-221.23083316526026</v>
      </c>
      <c r="Q211" s="24">
        <f t="shared" si="42"/>
        <v>-341.42550314270193</v>
      </c>
    </row>
    <row r="212" spans="1:17" x14ac:dyDescent="0.2">
      <c r="A212" s="26" t="s">
        <v>166</v>
      </c>
      <c r="B212" s="20"/>
      <c r="C212" s="24">
        <f>C211/(C162/7)</f>
        <v>44.403590153519005</v>
      </c>
      <c r="D212" s="24">
        <f>D211/'Input Property 5'!$B$64</f>
        <v>23.648523813940315</v>
      </c>
      <c r="E212" s="24">
        <f>E211/'Input Property 5'!$B$64</f>
        <v>21.019506251384168</v>
      </c>
      <c r="F212" s="24">
        <f>F211/'Input Property 5'!$B$64</f>
        <v>18.637271581576222</v>
      </c>
      <c r="G212" s="24">
        <f>G211/'Input Property 5'!$B$64</f>
        <v>16.429223700930198</v>
      </c>
      <c r="H212" s="24">
        <f>H211/'Input Property 5'!$B$64</f>
        <v>12.987567658608409</v>
      </c>
      <c r="I212" s="24">
        <f>I211/'Input Property 5'!$B$64</f>
        <v>10.985105789930484</v>
      </c>
      <c r="J212" s="24">
        <f>J211/'Input Property 5'!$B$64</f>
        <v>8.9425012748632753</v>
      </c>
      <c r="K212" s="24">
        <f>K211/'Input Property 5'!$B$64</f>
        <v>6.8868133304710275</v>
      </c>
      <c r="L212" s="24">
        <f>L211/'Input Property 5'!$B$64</f>
        <v>4.7178295397132288</v>
      </c>
      <c r="M212" s="24">
        <f>M211/'Input Property 5'!$B$64</f>
        <v>2.6635312931330843</v>
      </c>
      <c r="N212" s="24">
        <f>N211/'Input Property 5'!$B$64</f>
        <v>0.47051180450122637</v>
      </c>
      <c r="O212" s="24">
        <f>O211/'Input Property 5'!$B$64</f>
        <v>-1.7890297538871291</v>
      </c>
      <c r="P212" s="24">
        <f>P211/'Input Property 5'!$B$64</f>
        <v>-4.2340829313925408</v>
      </c>
      <c r="Q212" s="24">
        <f>Q211/'Input Property 5'!$B$64</f>
        <v>-6.5344593902909462</v>
      </c>
    </row>
    <row r="213" spans="1:17" x14ac:dyDescent="0.2">
      <c r="A213" s="37" t="s">
        <v>80</v>
      </c>
      <c r="B213" s="20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</row>
    <row r="214" spans="1:17" x14ac:dyDescent="0.2">
      <c r="A214" s="26" t="s">
        <v>81</v>
      </c>
      <c r="B214" s="15">
        <f>1-B205</f>
        <v>0</v>
      </c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</row>
    <row r="215" spans="1:17" x14ac:dyDescent="0.2">
      <c r="A215" s="38" t="s">
        <v>74</v>
      </c>
      <c r="B215"/>
      <c r="C215" s="24">
        <f>'Input Property 5'!B48</f>
        <v>96000</v>
      </c>
      <c r="D215" s="24">
        <f>'Input Property 5'!C48</f>
        <v>97920</v>
      </c>
      <c r="E215" s="24">
        <f>'Input Property 5'!D48</f>
        <v>99878.400000000009</v>
      </c>
      <c r="F215" s="24">
        <f>'Input Property 5'!E48</f>
        <v>101875.96800000001</v>
      </c>
      <c r="G215" s="24">
        <f>'Input Property 5'!F48</f>
        <v>103913.48736000001</v>
      </c>
      <c r="H215" s="24">
        <f>'Input Property 5'!G48</f>
        <v>105991.75710720001</v>
      </c>
      <c r="I215" s="24">
        <f>'Input Property 5'!H48</f>
        <v>108111.59224934402</v>
      </c>
      <c r="J215" s="24">
        <f>'Input Property 5'!I48</f>
        <v>110273.82409433089</v>
      </c>
      <c r="K215" s="24">
        <f>'Input Property 5'!J48</f>
        <v>112479.30057621752</v>
      </c>
      <c r="L215" s="24">
        <f>'Input Property 5'!K48</f>
        <v>114728.88658774187</v>
      </c>
      <c r="M215" s="24">
        <f>'Input Property 5'!L48</f>
        <v>117023.46431949671</v>
      </c>
      <c r="N215" s="24">
        <f>'Input Property 5'!M48</f>
        <v>119363.93360588665</v>
      </c>
      <c r="O215" s="24">
        <f>'Input Property 5'!N48</f>
        <v>121751.21227800439</v>
      </c>
      <c r="P215" s="24">
        <f>'Input Property 5'!O48</f>
        <v>124186.23652356448</v>
      </c>
      <c r="Q215" s="24">
        <f>'Input Property 5'!P48</f>
        <v>126669.96125403578</v>
      </c>
    </row>
    <row r="216" spans="1:17" x14ac:dyDescent="0.2">
      <c r="A216" s="38" t="s">
        <v>76</v>
      </c>
      <c r="B216"/>
      <c r="C216" s="24">
        <f>'Tax Table'!I12</f>
        <v>23466.115000000002</v>
      </c>
      <c r="D216" s="63">
        <f>'Tax Table'!I23</f>
        <v>24176.514999999999</v>
      </c>
      <c r="E216" s="24">
        <f>'Tax Table'!I33</f>
        <v>24901.123000000003</v>
      </c>
      <c r="F216" s="24">
        <f>'Tax Table'!I43</f>
        <v>25640.223160000001</v>
      </c>
      <c r="G216" s="24">
        <f>'Tax Table'!I53</f>
        <v>26394.105323200005</v>
      </c>
      <c r="H216" s="24">
        <f>'Tax Table'!I63</f>
        <v>27163.065129664006</v>
      </c>
      <c r="I216" s="24">
        <f>'Tax Table'!I73</f>
        <v>27947.404132257288</v>
      </c>
      <c r="J216" s="24">
        <f>'Tax Table'!I83</f>
        <v>28747.42991490243</v>
      </c>
      <c r="K216" s="24">
        <f>'Tax Table'!I93</f>
        <v>29563.456213200479</v>
      </c>
      <c r="L216" s="24">
        <f>'Tax Table'!I103</f>
        <v>30395.803037464495</v>
      </c>
      <c r="M216" s="24">
        <f>'Tax Table'!I113</f>
        <v>31244.796798213782</v>
      </c>
      <c r="N216" s="24">
        <f>'Tax Table'!I123</f>
        <v>32110.770434178059</v>
      </c>
      <c r="O216" s="24">
        <f>'Tax Table'!I133</f>
        <v>32994.063542861622</v>
      </c>
      <c r="P216" s="24">
        <f>'Tax Table'!I143</f>
        <v>33895.022513718861</v>
      </c>
      <c r="Q216" s="24">
        <f>'Tax Table'!I153</f>
        <v>34814.00066399324</v>
      </c>
    </row>
    <row r="217" spans="1:17" x14ac:dyDescent="0.2">
      <c r="A217" s="26" t="s">
        <v>41</v>
      </c>
      <c r="B217" s="20"/>
      <c r="C217" s="24">
        <f>C202*'Data Property 5'!$B$214</f>
        <v>0</v>
      </c>
      <c r="D217" s="24">
        <f>D202*'Data Property 5'!$B$214</f>
        <v>0</v>
      </c>
      <c r="E217" s="24">
        <f>E202*'Data Property 5'!$B$214</f>
        <v>0</v>
      </c>
      <c r="F217" s="24">
        <f>F202*'Data Property 5'!$B$214</f>
        <v>0</v>
      </c>
      <c r="G217" s="24">
        <f>G202*'Data Property 5'!$B$214</f>
        <v>0</v>
      </c>
      <c r="H217" s="24">
        <f>H202*'Data Property 5'!$B$214</f>
        <v>0</v>
      </c>
      <c r="I217" s="24">
        <f>I202*'Data Property 5'!$B$214</f>
        <v>0</v>
      </c>
      <c r="J217" s="24">
        <f>J202*'Data Property 5'!$B$214</f>
        <v>0</v>
      </c>
      <c r="K217" s="24">
        <f>K202*'Data Property 5'!$B$214</f>
        <v>0</v>
      </c>
      <c r="L217" s="24">
        <f>L202*'Data Property 5'!$B$214</f>
        <v>0</v>
      </c>
      <c r="M217" s="24">
        <f>M202*'Data Property 5'!$B$214</f>
        <v>0</v>
      </c>
      <c r="N217" s="24">
        <f>N202*'Data Property 5'!$B$214</f>
        <v>0</v>
      </c>
      <c r="O217" s="24">
        <f>O202*'Data Property 5'!$B$214</f>
        <v>0</v>
      </c>
      <c r="P217" s="24">
        <f>P202*'Data Property 5'!$B$214</f>
        <v>0</v>
      </c>
      <c r="Q217" s="24">
        <f>Q202*'Data Property 5'!$B$214</f>
        <v>0</v>
      </c>
    </row>
    <row r="218" spans="1:17" x14ac:dyDescent="0.2">
      <c r="A218" s="38" t="s">
        <v>75</v>
      </c>
      <c r="B218"/>
      <c r="C218" s="24">
        <f>IF(C161&lt;'Input Property 5'!$B$33,C215+C217,IF(C161&gt;'Input Property 5'!$B$33,0,C215+C217+C237))</f>
        <v>96000</v>
      </c>
      <c r="D218" s="24">
        <f>IF(C161&lt;'Input Property 5'!$B$33,IF(D161&lt;'Input Property 5'!$B$33,D215+D217,D215+D217+D237),D215)</f>
        <v>97920</v>
      </c>
      <c r="E218" s="24">
        <f>IF(D161&lt;'Input Property 5'!$B$33,IF(E161&lt;'Input Property 5'!$B$33,E215+E217,E215+E217+E237),E215)</f>
        <v>99878.400000000009</v>
      </c>
      <c r="F218" s="24">
        <f>IF(E161&lt;'Input Property 5'!$B$33,IF(F161&lt;'Input Property 5'!$B$33,F215+F217,F215+F217+F237),F215)</f>
        <v>101875.96800000001</v>
      </c>
      <c r="G218" s="24">
        <f>IF(F161&lt;'Input Property 5'!$B$33,IF(G161&lt;'Input Property 5'!$B$33,G215+G217,G215+G217+G237),G215)</f>
        <v>103913.48736000001</v>
      </c>
      <c r="H218" s="24">
        <f>IF(G161&lt;'Input Property 5'!$B$33,IF(H161&lt;'Input Property 5'!$B$33,H215+H217,H215+H217+H237),H215)</f>
        <v>105991.75710720001</v>
      </c>
      <c r="I218" s="24">
        <f>IF(H161&lt;'Input Property 5'!$B$33,IF(I161&lt;'Input Property 5'!$B$33,I215+I217,I215+I217+I237),I215)</f>
        <v>108111.59224934402</v>
      </c>
      <c r="J218" s="24">
        <f>IF(I161&lt;'Input Property 5'!$B$33,IF(J161&lt;'Input Property 5'!$B$33,J215+J217,J215+J217+J237),J215)</f>
        <v>110273.82409433089</v>
      </c>
      <c r="K218" s="24">
        <f>IF(J161&lt;'Input Property 5'!$B$33,IF(K161&lt;'Input Property 5'!$B$33,K215+K217,K215+K217+K237),K215)</f>
        <v>112479.30057621752</v>
      </c>
      <c r="L218" s="24">
        <f>IF(K161&lt;'Input Property 5'!$B$33,IF(L161&lt;'Input Property 5'!$B$33,L215+L217,L215+L217+L237),L215)</f>
        <v>114728.88658774187</v>
      </c>
      <c r="M218" s="24">
        <f>IF(L161&lt;'Input Property 5'!$B$33,IF(M161&lt;'Input Property 5'!$B$33,M215+M217,M215+M217+M237),M215)</f>
        <v>117023.46431949671</v>
      </c>
      <c r="N218" s="24">
        <f>IF(M161&lt;'Input Property 5'!$B$33,IF(N161&lt;'Input Property 5'!$B$33,N215+N217,N215+N217+N237),N215)</f>
        <v>119363.93360588665</v>
      </c>
      <c r="O218" s="24">
        <f>IF(N161&lt;'Input Property 5'!$B$33,IF(O161&lt;'Input Property 5'!$B$33,O215+O217,O215+O217+O237),O215)</f>
        <v>121751.21227800439</v>
      </c>
      <c r="P218" s="24">
        <f>IF(O161&lt;'Input Property 5'!$B$33,IF(P161&lt;'Input Property 5'!$B$33,P215+P217,P215+P217+P237),P215)</f>
        <v>124186.23652356448</v>
      </c>
      <c r="Q218" s="24">
        <f>IF(P161&lt;'Input Property 5'!$B$33,IF(Q161&lt;'Input Property 5'!$B$33,Q215+Q217,Q215+Q217+Q237),Q215)</f>
        <v>126669.96125403578</v>
      </c>
    </row>
    <row r="219" spans="1:17" x14ac:dyDescent="0.2">
      <c r="A219" s="38" t="s">
        <v>77</v>
      </c>
      <c r="B219"/>
      <c r="C219" s="24">
        <f>'Tax Table'!J12</f>
        <v>22362.368616183954</v>
      </c>
      <c r="D219" s="63">
        <f>'Tax Table'!J23</f>
        <v>22940.879630721625</v>
      </c>
      <c r="E219" s="24">
        <f>'Tax Table'!J33</f>
        <v>23802.85379836518</v>
      </c>
      <c r="F219" s="24">
        <f>'Tax Table'!J43</f>
        <v>24666.425719862647</v>
      </c>
      <c r="G219" s="24">
        <f>'Tax Table'!J53</f>
        <v>25535.678384826402</v>
      </c>
      <c r="H219" s="24">
        <f>'Tax Table'!J63</f>
        <v>26484.464719501724</v>
      </c>
      <c r="I219" s="24">
        <f>'Tax Table'!J73</f>
        <v>27373.432354733424</v>
      </c>
      <c r="J219" s="24">
        <f>'Tax Table'!J83</f>
        <v>28280.184223290817</v>
      </c>
      <c r="K219" s="24">
        <f>'Tax Table'!J93</f>
        <v>29203.620216683372</v>
      </c>
      <c r="L219" s="24">
        <f>'Tax Table'!J103</f>
        <v>30149.296444014479</v>
      </c>
      <c r="M219" s="24">
        <f>'Tax Table'!J113</f>
        <v>31105.627288147585</v>
      </c>
      <c r="N219" s="24">
        <f>'Tax Table'!J123</f>
        <v>32086.186192392874</v>
      </c>
      <c r="O219" s="24">
        <f>'Tax Table'!J133</f>
        <v>33087.540347502225</v>
      </c>
      <c r="P219" s="24">
        <f>'Tax Table'!J143</f>
        <v>34116.253346884128</v>
      </c>
      <c r="Q219" s="24">
        <f>'Tax Table'!J153</f>
        <v>35155.426167135942</v>
      </c>
    </row>
    <row r="220" spans="1:17" x14ac:dyDescent="0.2">
      <c r="A220" s="26" t="s">
        <v>71</v>
      </c>
      <c r="B220" s="20"/>
      <c r="C220" s="24">
        <f t="shared" ref="C220:Q220" si="43">C216-C219</f>
        <v>1103.7463838160475</v>
      </c>
      <c r="D220" s="24">
        <f t="shared" si="43"/>
        <v>1235.6353692783741</v>
      </c>
      <c r="E220" s="24">
        <f t="shared" si="43"/>
        <v>1098.2692016348228</v>
      </c>
      <c r="F220" s="24">
        <f t="shared" si="43"/>
        <v>973.79744013735399</v>
      </c>
      <c r="G220" s="24">
        <f t="shared" si="43"/>
        <v>858.42693837360275</v>
      </c>
      <c r="H220" s="24">
        <f t="shared" si="43"/>
        <v>678.60041016228206</v>
      </c>
      <c r="I220" s="24">
        <f t="shared" si="43"/>
        <v>573.97177752386415</v>
      </c>
      <c r="J220" s="24">
        <f t="shared" si="43"/>
        <v>467.24569161161344</v>
      </c>
      <c r="K220" s="24">
        <f t="shared" si="43"/>
        <v>359.83599651710756</v>
      </c>
      <c r="L220" s="24">
        <f t="shared" si="43"/>
        <v>246.50659345001623</v>
      </c>
      <c r="M220" s="24">
        <f t="shared" si="43"/>
        <v>139.16951006619638</v>
      </c>
      <c r="N220" s="24">
        <f t="shared" si="43"/>
        <v>24.584241785185441</v>
      </c>
      <c r="O220" s="24">
        <f t="shared" si="43"/>
        <v>-93.476804640602495</v>
      </c>
      <c r="P220" s="24">
        <f t="shared" si="43"/>
        <v>-221.23083316526754</v>
      </c>
      <c r="Q220" s="24">
        <f t="shared" si="43"/>
        <v>-341.42550314270193</v>
      </c>
    </row>
    <row r="221" spans="1:17" x14ac:dyDescent="0.2">
      <c r="A221" s="26" t="s">
        <v>166</v>
      </c>
      <c r="B221" s="20"/>
      <c r="C221" s="24">
        <f>C220/(C162/7)</f>
        <v>44.403590153519147</v>
      </c>
      <c r="D221" s="24">
        <f>D220/'Input Property 5'!$B$64</f>
        <v>23.648523813940173</v>
      </c>
      <c r="E221" s="24">
        <f>E220/'Input Property 5'!$B$64</f>
        <v>21.019506251384168</v>
      </c>
      <c r="F221" s="24">
        <f>F220/'Input Property 5'!$B$64</f>
        <v>18.637271581576154</v>
      </c>
      <c r="G221" s="24">
        <f>G220/'Input Property 5'!$B$64</f>
        <v>16.429223700930198</v>
      </c>
      <c r="H221" s="24">
        <f>H220/'Input Property 5'!$B$64</f>
        <v>12.987567658608269</v>
      </c>
      <c r="I221" s="24">
        <f>I220/'Input Property 5'!$B$64</f>
        <v>10.985105789930415</v>
      </c>
      <c r="J221" s="24">
        <f>J220/'Input Property 5'!$B$64</f>
        <v>8.9425012748634156</v>
      </c>
      <c r="K221" s="24">
        <f>K220/'Input Property 5'!$B$64</f>
        <v>6.8868133304709582</v>
      </c>
      <c r="L221" s="24">
        <f>L220/'Input Property 5'!$B$64</f>
        <v>4.7178295397132288</v>
      </c>
      <c r="M221" s="24">
        <f>M220/'Input Property 5'!$B$64</f>
        <v>2.6635312931329449</v>
      </c>
      <c r="N221" s="24">
        <f>N220/'Input Property 5'!$B$64</f>
        <v>0.47051180450115676</v>
      </c>
      <c r="O221" s="24">
        <f>O220/'Input Property 5'!$B$64</f>
        <v>-1.7890297538871291</v>
      </c>
      <c r="P221" s="24">
        <f>P220/'Input Property 5'!$B$64</f>
        <v>-4.2340829313926802</v>
      </c>
      <c r="Q221" s="24">
        <f>Q220/'Input Property 5'!$B$64</f>
        <v>-6.5344593902909462</v>
      </c>
    </row>
    <row r="222" spans="1:17" x14ac:dyDescent="0.2">
      <c r="A222" s="37"/>
      <c r="B222" s="20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</row>
    <row r="223" spans="1:17" x14ac:dyDescent="0.2">
      <c r="A223" s="9" t="s">
        <v>16</v>
      </c>
      <c r="B223" s="15"/>
      <c r="C223" s="39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</row>
    <row r="224" spans="1:17" x14ac:dyDescent="0.2">
      <c r="A224" s="19" t="s">
        <v>37</v>
      </c>
      <c r="B224" s="24"/>
      <c r="C224" s="24">
        <f>C189+C211+C220</f>
        <v>1318.2217304500946</v>
      </c>
      <c r="D224" s="24">
        <f>IF('Input Property 5'!$B$33&gt;C161,IF(D161&gt;'Input Property 5'!$B$33,D189+D211+D220+D234,D189+D211+D220),0)</f>
        <v>1702.5669122358158</v>
      </c>
      <c r="E224" s="24">
        <f>IF('Input Property 5'!$B$33&gt;D161,IF(E161&gt;'Input Property 5'!$B$33,E189+E211+E220+E234,E189+E211+E220),0)</f>
        <v>1691.1270359482169</v>
      </c>
      <c r="F224" s="24">
        <f>IF('Input Property 5'!$B$33&gt;E161,IF(F161&gt;'Input Property 5'!$B$33,F189+F211+F220+F234,F189+F211+F220),0)</f>
        <v>1726.9688322845323</v>
      </c>
      <c r="G224" s="24">
        <f>IF('Input Property 5'!$B$33&gt;F161,IF(G161&gt;'Input Property 5'!$B$33,G189+G211+G220+G234,G189+G211+G220),0)</f>
        <v>1792.0246271945543</v>
      </c>
      <c r="H224" s="24">
        <f>IF('Input Property 5'!$B$33&gt;G161,IF(H161&gt;'Input Property 5'!$B$33,H189+H211+H220+H234,H189+H211+H220),0)</f>
        <v>1755.0851910545953</v>
      </c>
      <c r="I224" s="24">
        <f>IF('Input Property 5'!$B$33&gt;H161,IF(I161&gt;'Input Property 5'!$B$33,I189+I211+I220+I234,I189+I211+I220),0)</f>
        <v>1849.403401108133</v>
      </c>
      <c r="J224" s="24">
        <f>IF('Input Property 5'!$B$33&gt;I161,IF(J161&gt;'Input Property 5'!$B$33,J189+J211+J220+J234,J189+J211+J220),0)</f>
        <v>1967.312238036151</v>
      </c>
      <c r="K224" s="24">
        <f>IF('Input Property 5'!$B$33&gt;J161,IF(K161&gt;'Input Property 5'!$B$33,K189+K211+K220+K234,K189+K211+K220),0)</f>
        <v>2096.6038647595306</v>
      </c>
      <c r="L224" s="24">
        <f>IF('Input Property 5'!$B$33&gt;K161,IF(L161&gt;'Input Property 5'!$B$33,L189+L211+L220+L234,L189+L211+L220),0)</f>
        <v>2248.0713641191687</v>
      </c>
      <c r="M224" s="24">
        <f>IF('Input Property 5'!$B$33&gt;L161,IF(M161&gt;'Input Property 5'!$B$33,M189+M211+M220+M234,M189+M211+M220),0)</f>
        <v>2383.6605359090245</v>
      </c>
      <c r="N224" s="24">
        <f>IF('Input Property 5'!$B$33&gt;M161,IF(N161&gt;'Input Property 5'!$B$33,N189+N211+N220+N234,N189+N211+N220),0)</f>
        <v>2539.7714128196239</v>
      </c>
      <c r="O224" s="24">
        <f>IF('Input Property 5'!$B$33&gt;N161,IF(O161&gt;'Input Property 5'!$B$33,O189+O211+O220+O234,O189+O211+O220),0)</f>
        <v>2703.687586922726</v>
      </c>
      <c r="P224" s="24">
        <f>IF('Input Property 5'!$B$33&gt;O161,IF(P161&gt;'Input Property 5'!$B$33,P189+P211+P220+P234,P189+P211+P220),0)</f>
        <v>2890.3908785857257</v>
      </c>
      <c r="Q224" s="24">
        <f>IF('Input Property 5'!$B$33&gt;P161,IF(Q161&gt;'Input Property 5'!$B$33,Q189+Q211+Q220+Q234,Q189+Q211+Q220),0)</f>
        <v>3054.3504293141141</v>
      </c>
    </row>
    <row r="225" spans="1:17" x14ac:dyDescent="0.2">
      <c r="A225" s="19" t="s">
        <v>172</v>
      </c>
      <c r="B225" s="20"/>
      <c r="C225" s="63">
        <f>C224/(C162/7)</f>
        <v>53.031908696268175</v>
      </c>
      <c r="D225" s="63">
        <f>D224/'Input Property 5'!$B$64</f>
        <v>32.585012674369679</v>
      </c>
      <c r="E225" s="63">
        <f>E224/'Input Property 5'!$B$64</f>
        <v>32.366067673650086</v>
      </c>
      <c r="F225" s="63">
        <f>F224/'Input Property 5'!$B$64</f>
        <v>33.05203506764655</v>
      </c>
      <c r="G225" s="63">
        <f>G224/'Input Property 5'!$B$64</f>
        <v>34.297122051570419</v>
      </c>
      <c r="H225" s="63">
        <f>H224/'Input Property 5'!$B$64</f>
        <v>33.590147197217135</v>
      </c>
      <c r="I225" s="63">
        <f>I224/'Input Property 5'!$B$64</f>
        <v>35.395280403983406</v>
      </c>
      <c r="J225" s="63">
        <f>J224/'Input Property 5'!$B$64</f>
        <v>37.651908861935908</v>
      </c>
      <c r="K225" s="63">
        <f>K224/'Input Property 5'!$B$64</f>
        <v>40.126389756163263</v>
      </c>
      <c r="L225" s="63">
        <f>L224/'Input Property 5'!$B$64</f>
        <v>43.025289265438637</v>
      </c>
      <c r="M225" s="63">
        <f>M224/'Input Property 5'!$B$64</f>
        <v>45.620297337971763</v>
      </c>
      <c r="N225" s="63">
        <f>N224/'Input Property 5'!$B$64</f>
        <v>48.608065317121991</v>
      </c>
      <c r="O225" s="63">
        <f>O224/'Input Property 5'!$B$64</f>
        <v>51.745216974597625</v>
      </c>
      <c r="P225" s="63">
        <f>P224/'Input Property 5'!$B$64</f>
        <v>55.318485714559344</v>
      </c>
      <c r="Q225" s="63">
        <f>Q224/'Input Property 5'!$B$64</f>
        <v>58.456467546681608</v>
      </c>
    </row>
    <row r="226" spans="1:17" x14ac:dyDescent="0.2">
      <c r="A226" s="9" t="s">
        <v>72</v>
      </c>
      <c r="B226"/>
      <c r="C226" s="1"/>
      <c r="D226" s="4">
        <v>2</v>
      </c>
      <c r="E226" s="2"/>
      <c r="F226"/>
      <c r="G226"/>
      <c r="H226"/>
      <c r="I226"/>
      <c r="J226"/>
      <c r="K226"/>
      <c r="L226"/>
      <c r="M226"/>
      <c r="N226"/>
      <c r="O226"/>
      <c r="P226"/>
      <c r="Q226"/>
    </row>
    <row r="227" spans="1:17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</row>
    <row r="228" spans="1:17" x14ac:dyDescent="0.2">
      <c r="A228" t="s">
        <v>226</v>
      </c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</row>
    <row r="229" spans="1:17" x14ac:dyDescent="0.2">
      <c r="A229" t="s">
        <v>227</v>
      </c>
      <c r="B229"/>
      <c r="C229" s="194">
        <f>'Data Property 5'!C102-'Data Property 5'!C103</f>
        <v>16890.958904109575</v>
      </c>
      <c r="D229" s="194">
        <f>'Data Property 5'!D102-'Data Property 5'!D103</f>
        <v>23412.997260273958</v>
      </c>
      <c r="E229" s="194">
        <f>'Data Property 5'!E102-'Data Property 5'!E103</f>
        <v>30195.917150684923</v>
      </c>
      <c r="F229" s="194">
        <f>'Data Property 5'!F102-'Data Property 5'!F103</f>
        <v>37250.153836712328</v>
      </c>
      <c r="G229" s="194">
        <f>'Data Property 5'!G102-'Data Property 5'!G103</f>
        <v>44586.559990180831</v>
      </c>
      <c r="H229" s="194">
        <f>'Data Property 5'!H102-'Data Property 5'!H103</f>
        <v>52216.422389788058</v>
      </c>
      <c r="I229" s="194">
        <f>'Data Property 5'!I102-'Data Property 5'!I103</f>
        <v>60151.479285379581</v>
      </c>
      <c r="J229" s="194">
        <f>'Data Property 5'!J102-'Data Property 5'!J103</f>
        <v>68403.938456794771</v>
      </c>
      <c r="K229" s="194">
        <f>'Data Property 5'!K102-'Data Property 5'!K103</f>
        <v>76986.495995066565</v>
      </c>
      <c r="L229" s="194">
        <f>'Data Property 5'!L102-'Data Property 5'!L103</f>
        <v>85912.355834869231</v>
      </c>
      <c r="M229" s="194">
        <f>'Data Property 5'!M102-'Data Property 5'!M103</f>
        <v>95195.250068263995</v>
      </c>
      <c r="N229" s="194">
        <f>'Data Property 5'!N102-'Data Property 5'!N103</f>
        <v>104849.46007099457</v>
      </c>
      <c r="O229" s="194">
        <f>'Data Property 5'!O102-'Data Property 5'!O103</f>
        <v>114889.83847383436</v>
      </c>
      <c r="P229" s="194">
        <f>'Data Property 5'!P102-'Data Property 5'!P103</f>
        <v>125331.83201278775</v>
      </c>
      <c r="Q229" s="194">
        <f>'Data Property 5'!Q102-'Data Property 5'!Q103</f>
        <v>136191.50529329927</v>
      </c>
    </row>
    <row r="230" spans="1:17" x14ac:dyDescent="0.2">
      <c r="A230" t="s">
        <v>228</v>
      </c>
      <c r="B230"/>
      <c r="C230" s="195">
        <f>'Input Property 5'!$F$13</f>
        <v>20760</v>
      </c>
      <c r="D230" s="195">
        <f>'Input Property 5'!$F$13</f>
        <v>20760</v>
      </c>
      <c r="E230" s="195">
        <f>'Input Property 5'!$F$13</f>
        <v>20760</v>
      </c>
      <c r="F230" s="195">
        <f>'Input Property 5'!$F$13</f>
        <v>20760</v>
      </c>
      <c r="G230" s="195">
        <f>'Input Property 5'!$F$13</f>
        <v>20760</v>
      </c>
      <c r="H230" s="195">
        <f>'Input Property 5'!$F$13</f>
        <v>20760</v>
      </c>
      <c r="I230" s="195">
        <f>'Input Property 5'!$F$13</f>
        <v>20760</v>
      </c>
      <c r="J230" s="195">
        <f>'Input Property 5'!$F$13</f>
        <v>20760</v>
      </c>
      <c r="K230" s="195">
        <f>'Input Property 5'!$F$13</f>
        <v>20760</v>
      </c>
      <c r="L230" s="195">
        <f>'Input Property 5'!$F$13</f>
        <v>20760</v>
      </c>
      <c r="M230" s="195">
        <f>'Input Property 5'!$F$13</f>
        <v>20760</v>
      </c>
      <c r="N230" s="195">
        <f>'Input Property 5'!$F$13</f>
        <v>20760</v>
      </c>
      <c r="O230" s="195">
        <f>'Input Property 5'!$F$13</f>
        <v>20760</v>
      </c>
      <c r="P230" s="195">
        <f>'Input Property 5'!$F$13</f>
        <v>20760</v>
      </c>
      <c r="Q230" s="195">
        <f>'Input Property 5'!$F$13</f>
        <v>20760</v>
      </c>
    </row>
    <row r="231" spans="1:17" x14ac:dyDescent="0.2">
      <c r="A231" t="s">
        <v>229</v>
      </c>
      <c r="B231"/>
      <c r="C231" s="195">
        <f>'Data Property 5'!C102*'Input Property 5'!B59</f>
        <v>4891.5287671232873</v>
      </c>
      <c r="D231" s="195">
        <f>'Data Property 5'!D102*'Input Property 5'!C59</f>
        <v>5214.3696657534238</v>
      </c>
      <c r="E231" s="195">
        <f>'Data Property 5'!E102*'Input Property 5'!D59</f>
        <v>5558.5180636931491</v>
      </c>
      <c r="F231" s="195">
        <f>'Data Property 5'!F102*'Input Property 5'!E59</f>
        <v>5925.3802558968973</v>
      </c>
      <c r="G231" s="195">
        <f>'Data Property 5'!G102*'Input Property 5'!F59</f>
        <v>6316.4553527860917</v>
      </c>
      <c r="H231" s="195">
        <f>'Data Property 5'!H102*'Input Property 5'!G59</f>
        <v>6733.3414060699733</v>
      </c>
      <c r="I231" s="195">
        <f>'Data Property 5'!I102*'Input Property 5'!H59</f>
        <v>7177.7419388705912</v>
      </c>
      <c r="J231" s="195">
        <f>'Data Property 5'!J102*'Input Property 5'!I59</f>
        <v>7651.4729068360502</v>
      </c>
      <c r="K231" s="195">
        <f>'Data Property 5'!K102*'Input Property 5'!J59</f>
        <v>8156.4701186872289</v>
      </c>
      <c r="L231" s="195">
        <f>'Data Property 5'!L102*'Input Property 5'!K59</f>
        <v>8694.7971465205865</v>
      </c>
      <c r="M231" s="195">
        <f>'Data Property 5'!M102*'Input Property 5'!L59</f>
        <v>9268.6537581909433</v>
      </c>
      <c r="N231" s="195">
        <f>'Data Property 5'!N102*'Input Property 5'!M59</f>
        <v>9880.3849062315439</v>
      </c>
      <c r="O231" s="195">
        <f>'Data Property 5'!O102*'Input Property 5'!N59</f>
        <v>10532.490310042826</v>
      </c>
      <c r="P231" s="195">
        <f>'Data Property 5'!P102*'Input Property 5'!O59</f>
        <v>11227.634670505651</v>
      </c>
      <c r="Q231" s="195">
        <f>'Data Property 5'!Q102*'Input Property 5'!P59</f>
        <v>11968.658558759022</v>
      </c>
    </row>
    <row r="232" spans="1:17" x14ac:dyDescent="0.2">
      <c r="A232" t="s">
        <v>237</v>
      </c>
      <c r="B232"/>
      <c r="C232" s="195">
        <f>'Input Property 5'!B60</f>
        <v>3000</v>
      </c>
      <c r="D232" s="195">
        <f>'Input Property 5'!C60</f>
        <v>3074.9999999999995</v>
      </c>
      <c r="E232" s="195">
        <f>'Input Property 5'!D60</f>
        <v>3151.8749999999991</v>
      </c>
      <c r="F232" s="195">
        <f>'Input Property 5'!E60</f>
        <v>3230.6718749999986</v>
      </c>
      <c r="G232" s="195">
        <f>'Input Property 5'!F60</f>
        <v>3311.4386718749984</v>
      </c>
      <c r="H232" s="195">
        <f>'Input Property 5'!G60</f>
        <v>3394.224638671873</v>
      </c>
      <c r="I232" s="195">
        <f>'Input Property 5'!H60</f>
        <v>3479.0802546386694</v>
      </c>
      <c r="J232" s="195">
        <f>'Input Property 5'!I60</f>
        <v>3566.0572610046361</v>
      </c>
      <c r="K232" s="195">
        <f>'Input Property 5'!J60</f>
        <v>3655.2086925297517</v>
      </c>
      <c r="L232" s="195">
        <f>'Input Property 5'!K60</f>
        <v>3746.5889098429952</v>
      </c>
      <c r="M232" s="195">
        <f>'Input Property 5'!L60</f>
        <v>3840.2536325890696</v>
      </c>
      <c r="N232" s="195">
        <f>'Input Property 5'!M60</f>
        <v>3936.2599734037958</v>
      </c>
      <c r="O232" s="195">
        <f>'Input Property 5'!N60</f>
        <v>4034.6664727388902</v>
      </c>
      <c r="P232" s="195">
        <f>'Input Property 5'!O60</f>
        <v>4135.5331345573622</v>
      </c>
      <c r="Q232" s="195">
        <f>'Input Property 5'!P60</f>
        <v>4238.9214629212956</v>
      </c>
    </row>
    <row r="233" spans="1:17" x14ac:dyDescent="0.2">
      <c r="A233" t="s">
        <v>240</v>
      </c>
      <c r="B233"/>
      <c r="C233" s="195">
        <f>C197</f>
        <v>0</v>
      </c>
      <c r="D233" s="195">
        <f>SUM($C197:D$197)</f>
        <v>0</v>
      </c>
      <c r="E233" s="195">
        <f>SUM($C197:E$197)</f>
        <v>0</v>
      </c>
      <c r="F233" s="195">
        <f>SUM($C197:F$197)</f>
        <v>0</v>
      </c>
      <c r="G233" s="195">
        <f>SUM($C197:G$197)</f>
        <v>0</v>
      </c>
      <c r="H233" s="195">
        <f>SUM($C197:H$197)</f>
        <v>0</v>
      </c>
      <c r="I233" s="195">
        <f>SUM($C197:I$197)</f>
        <v>0</v>
      </c>
      <c r="J233" s="195">
        <f>SUM($C197:J$197)</f>
        <v>0</v>
      </c>
      <c r="K233" s="195">
        <f>SUM($C197:K$197)</f>
        <v>0</v>
      </c>
      <c r="L233" s="195">
        <f>SUM($C197:L$197)</f>
        <v>0</v>
      </c>
      <c r="M233" s="195">
        <f>SUM($C197:M$197)</f>
        <v>0</v>
      </c>
      <c r="N233" s="195">
        <f>SUM($C197:N$197)</f>
        <v>0</v>
      </c>
      <c r="O233" s="195">
        <f>SUM($C197:O$197)</f>
        <v>0</v>
      </c>
      <c r="P233" s="195">
        <f>SUM($C197:P$197)</f>
        <v>0</v>
      </c>
      <c r="Q233" s="195">
        <f>SUM($C197:Q$197)</f>
        <v>0</v>
      </c>
    </row>
    <row r="234" spans="1:17" x14ac:dyDescent="0.2">
      <c r="A234" t="s">
        <v>234</v>
      </c>
      <c r="B234"/>
      <c r="C234" s="195">
        <f t="shared" ref="C234:Q234" si="44">C229-C230-C231-C232+C233</f>
        <v>-11760.569863013712</v>
      </c>
      <c r="D234" s="195">
        <f t="shared" si="44"/>
        <v>-5636.3724054794657</v>
      </c>
      <c r="E234" s="195">
        <f t="shared" si="44"/>
        <v>725.52408699177522</v>
      </c>
      <c r="F234" s="195">
        <f t="shared" si="44"/>
        <v>7334.1017058154339</v>
      </c>
      <c r="G234" s="195">
        <f t="shared" si="44"/>
        <v>14198.66596551974</v>
      </c>
      <c r="H234" s="195">
        <f t="shared" si="44"/>
        <v>21328.856345046213</v>
      </c>
      <c r="I234" s="195">
        <f t="shared" si="44"/>
        <v>28734.657091870322</v>
      </c>
      <c r="J234" s="195">
        <f t="shared" si="44"/>
        <v>36426.408288954088</v>
      </c>
      <c r="K234" s="195">
        <f t="shared" si="44"/>
        <v>44414.817183849591</v>
      </c>
      <c r="L234" s="195">
        <f t="shared" si="44"/>
        <v>52710.969778505649</v>
      </c>
      <c r="M234" s="195">
        <f t="shared" si="44"/>
        <v>61326.342677483983</v>
      </c>
      <c r="N234" s="195">
        <f t="shared" si="44"/>
        <v>70272.81519135923</v>
      </c>
      <c r="O234" s="195">
        <f t="shared" si="44"/>
        <v>79562.681691052654</v>
      </c>
      <c r="P234" s="195">
        <f t="shared" si="44"/>
        <v>89208.664207724738</v>
      </c>
      <c r="Q234" s="195">
        <f t="shared" si="44"/>
        <v>99223.925271618951</v>
      </c>
    </row>
    <row r="235" spans="1:17" x14ac:dyDescent="0.2">
      <c r="A235" t="s">
        <v>231</v>
      </c>
      <c r="B235"/>
      <c r="C235" s="195">
        <f>IF(C234&lt;0,C234,IF('Input Property 5'!$B$33&gt;('Input Property 5'!$B$21+365),C234*0.5))</f>
        <v>-11760.569863013712</v>
      </c>
      <c r="D235" s="195">
        <f>IF(D234&lt;0,D234,IF('Input Property 5'!$B$33&gt;('Input Property 5'!$B$21+365),D234*0.5))</f>
        <v>-5636.3724054794657</v>
      </c>
      <c r="E235" s="195">
        <f>IF(E234&lt;0,E234,IF('Input Property 5'!$B$33&gt;('Input Property 5'!$B$21+365),E234*0.5))</f>
        <v>362.76204349588761</v>
      </c>
      <c r="F235" s="195">
        <f>IF(F234&lt;0,F234,IF('Input Property 5'!$B$33&gt;('Input Property 5'!$B$21+365),F234*0.5))</f>
        <v>3667.0508529077169</v>
      </c>
      <c r="G235" s="195">
        <f>IF(G234&lt;0,G234,IF('Input Property 5'!$B$33&gt;('Input Property 5'!$B$21+365),G234*0.5))</f>
        <v>7099.33298275987</v>
      </c>
      <c r="H235" s="195">
        <f>IF(H234&lt;0,H234,IF('Input Property 5'!$B$33&gt;('Input Property 5'!$B$21+365),H234*0.5))</f>
        <v>10664.428172523107</v>
      </c>
      <c r="I235" s="195">
        <f>IF(I234&lt;0,I234,IF('Input Property 5'!$B$33&gt;('Input Property 5'!$B$21+365),I234*0.5))</f>
        <v>14367.328545935161</v>
      </c>
      <c r="J235" s="195">
        <f>IF(J234&lt;0,J234,IF('Input Property 5'!$B$33&gt;('Input Property 5'!$B$21+365),J234*0.5))</f>
        <v>18213.204144477044</v>
      </c>
      <c r="K235" s="195">
        <f>IF(K234&lt;0,K234,IF('Input Property 5'!$B$33&gt;('Input Property 5'!$B$21+365),K234*0.5))</f>
        <v>22207.408591924795</v>
      </c>
      <c r="L235" s="195">
        <f>IF(L234&lt;0,L234,IF('Input Property 5'!$B$33&gt;('Input Property 5'!$B$21+365),L234*0.5))</f>
        <v>26355.484889252824</v>
      </c>
      <c r="M235" s="195">
        <f>IF(M234&lt;0,M234,IF('Input Property 5'!$B$33&gt;('Input Property 5'!$B$21+365),M234*0.5))</f>
        <v>30663.171338741991</v>
      </c>
      <c r="N235" s="195">
        <f>IF(N234&lt;0,N234,IF('Input Property 5'!$B$33&gt;('Input Property 5'!$B$21+365),N234*0.5))</f>
        <v>35136.407595679615</v>
      </c>
      <c r="O235" s="195">
        <f>IF(O234&lt;0,O234,IF('Input Property 5'!$B$33&gt;('Input Property 5'!$B$21+365),O234*0.5))</f>
        <v>39781.340845526327</v>
      </c>
      <c r="P235" s="195">
        <f>IF(P234&lt;0,P234,IF('Input Property 5'!$B$33&gt;('Input Property 5'!$B$21+365),P234*0.5))</f>
        <v>44604.332103862369</v>
      </c>
      <c r="Q235" s="195">
        <f>IF(Q234&lt;0,Q234,IF('Input Property 5'!$B$33&gt;('Input Property 5'!$B$21+365),Q234*0.5))</f>
        <v>49611.962635809476</v>
      </c>
    </row>
    <row r="236" spans="1:17" x14ac:dyDescent="0.2">
      <c r="A236" t="s">
        <v>232</v>
      </c>
      <c r="B236"/>
      <c r="C236" s="195">
        <f>C235*'Input Property 5'!$B$26</f>
        <v>-11760.569863013712</v>
      </c>
      <c r="D236" s="195">
        <f>D235*'Input Property 5'!$B$26</f>
        <v>-5636.3724054794657</v>
      </c>
      <c r="E236" s="195">
        <f>E235*'Input Property 5'!$B$26</f>
        <v>362.76204349588761</v>
      </c>
      <c r="F236" s="195">
        <f>F235*'Input Property 5'!$B$26</f>
        <v>3667.0508529077169</v>
      </c>
      <c r="G236" s="195">
        <f>G235*'Input Property 5'!$B$26</f>
        <v>7099.33298275987</v>
      </c>
      <c r="H236" s="195">
        <f>H235*'Input Property 5'!$B$26</f>
        <v>10664.428172523107</v>
      </c>
      <c r="I236" s="195">
        <f>I235*'Input Property 5'!$B$26</f>
        <v>14367.328545935161</v>
      </c>
      <c r="J236" s="195">
        <f>J235*'Input Property 5'!$B$26</f>
        <v>18213.204144477044</v>
      </c>
      <c r="K236" s="195">
        <f>K235*'Input Property 5'!$B$26</f>
        <v>22207.408591924795</v>
      </c>
      <c r="L236" s="195">
        <f>L235*'Input Property 5'!$B$26</f>
        <v>26355.484889252824</v>
      </c>
      <c r="M236" s="195">
        <f>M235*'Input Property 5'!$B$26</f>
        <v>30663.171338741991</v>
      </c>
      <c r="N236" s="195">
        <f>N235*'Input Property 5'!$B$26</f>
        <v>35136.407595679615</v>
      </c>
      <c r="O236" s="195">
        <f>O235*'Input Property 5'!$B$26</f>
        <v>39781.340845526327</v>
      </c>
      <c r="P236" s="195">
        <f>P235*'Input Property 5'!$B$26</f>
        <v>44604.332103862369</v>
      </c>
      <c r="Q236" s="195">
        <f>Q235*'Input Property 5'!$B$26</f>
        <v>49611.962635809476</v>
      </c>
    </row>
    <row r="237" spans="1:17" x14ac:dyDescent="0.2">
      <c r="A237" t="s">
        <v>233</v>
      </c>
      <c r="B237"/>
      <c r="C237" s="195">
        <f>C235*'Input Property 5'!$B$27</f>
        <v>0</v>
      </c>
      <c r="D237" s="195">
        <f>D235*'Input Property 5'!$B$27</f>
        <v>0</v>
      </c>
      <c r="E237" s="195">
        <f>E235*'Input Property 5'!$B$27</f>
        <v>0</v>
      </c>
      <c r="F237" s="195">
        <f>F235*'Input Property 5'!$B$27</f>
        <v>0</v>
      </c>
      <c r="G237" s="195">
        <f>G235*'Input Property 5'!$B$27</f>
        <v>0</v>
      </c>
      <c r="H237" s="195">
        <f>H235*'Input Property 5'!$B$27</f>
        <v>0</v>
      </c>
      <c r="I237" s="195">
        <f>I235*'Input Property 5'!$B$27</f>
        <v>0</v>
      </c>
      <c r="J237" s="195">
        <f>J235*'Input Property 5'!$B$27</f>
        <v>0</v>
      </c>
      <c r="K237" s="195">
        <f>K235*'Input Property 5'!$B$27</f>
        <v>0</v>
      </c>
      <c r="L237" s="195">
        <f>L235*'Input Property 5'!$B$27</f>
        <v>0</v>
      </c>
      <c r="M237" s="195">
        <f>M235*'Input Property 5'!$B$27</f>
        <v>0</v>
      </c>
      <c r="N237" s="195">
        <f>N235*'Input Property 5'!$B$27</f>
        <v>0</v>
      </c>
      <c r="O237" s="195">
        <f>O235*'Input Property 5'!$B$27</f>
        <v>0</v>
      </c>
      <c r="P237" s="195">
        <f>P235*'Input Property 5'!$B$27</f>
        <v>0</v>
      </c>
      <c r="Q237" s="195">
        <f>Q235*'Input Property 5'!$B$27</f>
        <v>0</v>
      </c>
    </row>
  </sheetData>
  <pageMargins left="0.47" right="0.5" top="1" bottom="1" header="0.5" footer="0.5"/>
  <pageSetup paperSize="9" orientation="landscape" horizontalDpi="300" verticalDpi="300" r:id="rId1"/>
  <headerFooter alignWithMargins="0">
    <oddHeader>&amp;C&amp;F &amp;A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6"/>
  <dimension ref="A1:K154"/>
  <sheetViews>
    <sheetView topLeftCell="A37" workbookViewId="0">
      <selection activeCell="A37" sqref="A37"/>
    </sheetView>
  </sheetViews>
  <sheetFormatPr defaultRowHeight="12.75" x14ac:dyDescent="0.2"/>
  <cols>
    <col min="1" max="1" width="22.42578125" customWidth="1"/>
    <col min="2" max="2" width="36.5703125" customWidth="1"/>
    <col min="3" max="4" width="10" style="43" customWidth="1"/>
    <col min="6" max="6" width="7.42578125" customWidth="1"/>
    <col min="7" max="10" width="11.85546875" style="43" customWidth="1"/>
    <col min="11" max="11" width="8.85546875" customWidth="1"/>
  </cols>
  <sheetData>
    <row r="1" spans="1:11" x14ac:dyDescent="0.2">
      <c r="C1" s="123" t="s">
        <v>59</v>
      </c>
      <c r="D1" s="124" t="s">
        <v>58</v>
      </c>
      <c r="E1" s="11" t="s">
        <v>46</v>
      </c>
      <c r="F1" s="383">
        <v>31245</v>
      </c>
      <c r="G1" s="383"/>
    </row>
    <row r="2" spans="1:11" x14ac:dyDescent="0.2">
      <c r="C2" s="125"/>
      <c r="E2" s="8"/>
      <c r="F2" s="383">
        <v>32036</v>
      </c>
      <c r="G2" s="383"/>
    </row>
    <row r="3" spans="1:11" x14ac:dyDescent="0.2">
      <c r="C3" s="188">
        <f>IF('Input Property 1'!B32&lt;F1,0,IF('Input Property 1'!B32&gt;F2,0.025,0.04))</f>
        <v>2.5000000000000001E-2</v>
      </c>
      <c r="E3" s="32">
        <f ca="1">(14600-(TODAY()-'Input Property 1'!B32))/365</f>
        <v>38.221917808219175</v>
      </c>
      <c r="G3" s="43" t="s">
        <v>162</v>
      </c>
      <c r="H3" s="43" t="s">
        <v>163</v>
      </c>
      <c r="I3" s="43" t="s">
        <v>164</v>
      </c>
      <c r="J3" s="43" t="s">
        <v>163</v>
      </c>
    </row>
    <row r="4" spans="1:11" x14ac:dyDescent="0.2">
      <c r="A4" s="16" t="s">
        <v>158</v>
      </c>
      <c r="B4" s="58">
        <v>1</v>
      </c>
      <c r="C4" s="125"/>
      <c r="E4" s="32"/>
      <c r="G4" s="43" t="s">
        <v>194</v>
      </c>
      <c r="H4" s="43" t="str">
        <f>'Input Property 1'!B57</f>
        <v>Yes</v>
      </c>
      <c r="K4" s="46" t="s">
        <v>180</v>
      </c>
    </row>
    <row r="5" spans="1:11" ht="13.5" thickBot="1" x14ac:dyDescent="0.25">
      <c r="A5" s="121" t="s">
        <v>204</v>
      </c>
      <c r="B5" s="121" t="s">
        <v>205</v>
      </c>
      <c r="C5" s="126" t="s">
        <v>32</v>
      </c>
      <c r="D5" s="126" t="s">
        <v>31</v>
      </c>
      <c r="E5" s="16" t="s">
        <v>33</v>
      </c>
      <c r="F5" s="16" t="s">
        <v>34</v>
      </c>
      <c r="G5" s="43">
        <f>'Data Property 1'!C206</f>
        <v>123000</v>
      </c>
      <c r="H5" s="43">
        <f>'Data Property 1'!C209</f>
        <v>120016.90166536203</v>
      </c>
      <c r="I5" s="43">
        <f>'Data Property 1'!C215</f>
        <v>96000</v>
      </c>
      <c r="J5" s="43">
        <f>'Data Property 1'!C218</f>
        <v>93016.901665362035</v>
      </c>
    </row>
    <row r="6" spans="1:11" ht="13.5" thickBot="1" x14ac:dyDescent="0.25">
      <c r="A6" s="366" t="s">
        <v>250</v>
      </c>
      <c r="B6" s="367" t="s">
        <v>36</v>
      </c>
      <c r="C6" s="43">
        <v>0</v>
      </c>
      <c r="D6" s="43">
        <v>18200</v>
      </c>
      <c r="E6" s="24"/>
      <c r="F6" s="45">
        <v>0</v>
      </c>
    </row>
    <row r="7" spans="1:11" ht="13.5" thickBot="1" x14ac:dyDescent="0.25">
      <c r="A7" s="368" t="s">
        <v>251</v>
      </c>
      <c r="B7" s="369" t="s">
        <v>252</v>
      </c>
      <c r="C7" s="43">
        <f>D6+1</f>
        <v>18201</v>
      </c>
      <c r="D7" s="43">
        <v>37000</v>
      </c>
      <c r="E7" s="24"/>
      <c r="F7" s="45">
        <v>0.19</v>
      </c>
      <c r="G7" s="43">
        <f>IF(G5&gt;'Tax Table'!C7,IF('Tax Table'!D7&gt;G5,(G5-'Tax Table'!C7)*'Tax Table'!F7,('Tax Table'!D7-'Tax Table'!C7)*'Tax Table'!F7))</f>
        <v>3571.81</v>
      </c>
      <c r="H7" s="43">
        <f>IF(H5&gt;'Tax Table'!C7,IF('Tax Table'!D7&gt;H5,(H5-'Tax Table'!C7)*'Tax Table'!F7,('Tax Table'!D7-'Tax Table'!C7)*'Tax Table'!F7))</f>
        <v>3571.81</v>
      </c>
      <c r="I7" s="43">
        <f>IF(I5&gt;'Tax Table'!C7,IF('Tax Table'!D7&gt;I5,(I5-'Tax Table'!C7)*'Tax Table'!F7,('Tax Table'!D7-'Tax Table'!C7)*'Tax Table'!F7),0)</f>
        <v>3571.81</v>
      </c>
      <c r="J7" s="43">
        <f>IF(J5&gt;'Tax Table'!C7,IF('Tax Table'!D7&gt;J5,(J5-'Tax Table'!C7)*'Tax Table'!F7,('Tax Table'!D7-'Tax Table'!C7)*'Tax Table'!F7),0)</f>
        <v>3571.81</v>
      </c>
    </row>
    <row r="8" spans="1:11" ht="13.5" thickBot="1" x14ac:dyDescent="0.25">
      <c r="A8" s="368" t="s">
        <v>253</v>
      </c>
      <c r="B8" s="369" t="s">
        <v>254</v>
      </c>
      <c r="C8" s="43">
        <f>D7+1</f>
        <v>37001</v>
      </c>
      <c r="D8" s="43">
        <v>80000</v>
      </c>
      <c r="E8" s="24"/>
      <c r="F8" s="45">
        <v>0.32500000000000001</v>
      </c>
      <c r="G8" s="43">
        <f>IF(G5&gt;'Tax Table'!C8,IF('Tax Table'!D8&gt;G5,(G5-'Tax Table'!C8)*'Tax Table'!F8,('Tax Table'!D8-'Tax Table'!C8)*'Tax Table'!F8))</f>
        <v>13974.675000000001</v>
      </c>
      <c r="H8" s="43">
        <f>IF(H5&gt;'Tax Table'!C8,IF('Tax Table'!D8&gt;H5,(H5-'Tax Table'!C8)*'Tax Table'!F8,('Tax Table'!D8-'Tax Table'!C8)*'Tax Table'!F8))</f>
        <v>13974.675000000001</v>
      </c>
      <c r="I8" s="43">
        <f>IF(I5&gt;'Tax Table'!C8,IF('Tax Table'!D8&gt;I5,(I5-'Tax Table'!C8)*'Tax Table'!F8,('Tax Table'!D8-'Tax Table'!C8)*'Tax Table'!F8),0)</f>
        <v>13974.675000000001</v>
      </c>
      <c r="J8" s="43">
        <f>IF(J5&gt;'Tax Table'!C8,IF('Tax Table'!D8&gt;J5,(J5-'Tax Table'!C8)*'Tax Table'!F8,('Tax Table'!D8-'Tax Table'!C8)*'Tax Table'!F8),0)</f>
        <v>13974.675000000001</v>
      </c>
    </row>
    <row r="9" spans="1:11" ht="15" customHeight="1" thickBot="1" x14ac:dyDescent="0.25">
      <c r="A9" s="368" t="s">
        <v>255</v>
      </c>
      <c r="B9" s="369" t="s">
        <v>256</v>
      </c>
      <c r="C9" s="43">
        <f>D8+1</f>
        <v>80001</v>
      </c>
      <c r="D9" s="43">
        <v>180000</v>
      </c>
      <c r="E9" s="24"/>
      <c r="F9" s="45">
        <v>0.37</v>
      </c>
      <c r="G9" s="43">
        <f>IF(G5&gt;'Tax Table'!C9,IF('Tax Table'!D9&gt;G5,(G5-'Tax Table'!C9)*'Tax Table'!F9,('Tax Table'!D9-'Tax Table'!C9)*'Tax Table'!F9))</f>
        <v>15909.63</v>
      </c>
      <c r="H9" s="43">
        <f>IF(H5&gt;'Tax Table'!C9,IF('Tax Table'!D9&gt;H5,(H5-'Tax Table'!C9)*'Tax Table'!F9,('Tax Table'!D9-'Tax Table'!C9)*'Tax Table'!F9))</f>
        <v>14805.883616183954</v>
      </c>
      <c r="I9" s="43">
        <f>IF(I5&gt;'Tax Table'!C9,IF('Tax Table'!D9&gt;I5,(I5-'Tax Table'!C9)*'Tax Table'!F9,('Tax Table'!D9-'Tax Table'!C9)*'Tax Table'!F9),0)</f>
        <v>5919.63</v>
      </c>
      <c r="J9" s="43">
        <f>IF(J5&gt;'Tax Table'!C9,IF('Tax Table'!D9&gt;J5,(J5-'Tax Table'!C9)*'Tax Table'!F9,('Tax Table'!D9-'Tax Table'!C9)*'Tax Table'!F9),0)</f>
        <v>4815.8836161839527</v>
      </c>
    </row>
    <row r="10" spans="1:11" ht="15" customHeight="1" thickBot="1" x14ac:dyDescent="0.25">
      <c r="A10" s="370" t="s">
        <v>257</v>
      </c>
      <c r="B10" s="371" t="s">
        <v>258</v>
      </c>
      <c r="C10" s="43">
        <f>D9+1</f>
        <v>180001</v>
      </c>
      <c r="E10" s="24"/>
      <c r="F10" s="45">
        <v>0.45</v>
      </c>
      <c r="G10" s="43">
        <f>IF(G5&gt;'Tax Table'!C10,(G5-'Tax Table'!C10)*'Tax Table'!F10,0)</f>
        <v>0</v>
      </c>
      <c r="H10" s="43">
        <f>IF(H5&gt;'Tax Table'!C10,(H5-'Tax Table'!C10)*'Tax Table'!F10,0)</f>
        <v>0</v>
      </c>
      <c r="I10" s="43">
        <f>IF(I5&gt;'Tax Table'!C10,(I5-'Tax Table'!C10)*'Tax Table'!F10,0)</f>
        <v>0</v>
      </c>
      <c r="J10" s="43">
        <f>IF(J5&gt;'Tax Table'!C10,(J5-'Tax Table'!C10)*'Tax Table'!F10,0)</f>
        <v>0</v>
      </c>
    </row>
    <row r="11" spans="1:11" x14ac:dyDescent="0.2">
      <c r="A11" s="9"/>
      <c r="B11" t="str">
        <f t="shared" ref="B11:F12" si="0">B21</f>
        <v>Medicare Surchage</v>
      </c>
      <c r="C11" s="43">
        <f t="shared" si="0"/>
        <v>50000</v>
      </c>
      <c r="D11" s="43" t="str">
        <f t="shared" si="0"/>
        <v>From</v>
      </c>
      <c r="E11" s="24">
        <f t="shared" si="0"/>
        <v>0</v>
      </c>
      <c r="F11" s="45">
        <f t="shared" si="0"/>
        <v>0.01</v>
      </c>
      <c r="G11" s="43">
        <f>IF(G5&gt;C11,(G5-E11)*'Tax Table'!F11,0)</f>
        <v>1230</v>
      </c>
      <c r="H11" s="43">
        <f>IF(H5&gt;C11,(H5-E11)*'Tax Table'!F11,0)</f>
        <v>1200.1690166536205</v>
      </c>
      <c r="I11" s="43">
        <f>IF(I5&gt;C11,(I5-E11)*'Tax Table'!F11,0)</f>
        <v>960</v>
      </c>
      <c r="J11" s="43">
        <f>IF(J5&gt;C11,(J5-E11)*'Tax Table'!F11,0)</f>
        <v>930.16901665362036</v>
      </c>
    </row>
    <row r="12" spans="1:11" ht="13.5" thickBot="1" x14ac:dyDescent="0.25">
      <c r="A12" s="9"/>
      <c r="B12" t="str">
        <f t="shared" si="0"/>
        <v>Medicare Levy</v>
      </c>
      <c r="C12" s="43">
        <f t="shared" si="0"/>
        <v>16000</v>
      </c>
      <c r="D12" s="43" t="str">
        <f t="shared" si="0"/>
        <v>From</v>
      </c>
      <c r="E12" s="24">
        <f t="shared" si="0"/>
        <v>0</v>
      </c>
      <c r="F12" s="45">
        <f t="shared" si="0"/>
        <v>1.4999999999999999E-2</v>
      </c>
      <c r="G12" s="44">
        <f>SUM(G6:G10)</f>
        <v>33456.114999999998</v>
      </c>
      <c r="H12" s="44">
        <f>SUM(H6:H10)</f>
        <v>32352.368616183954</v>
      </c>
      <c r="I12" s="44">
        <f>SUM(I6:I10)</f>
        <v>23466.115000000002</v>
      </c>
      <c r="J12" s="44">
        <f>SUM(J6:J10)</f>
        <v>22362.368616183954</v>
      </c>
    </row>
    <row r="13" spans="1:11" ht="13.5" thickTop="1" x14ac:dyDescent="0.2">
      <c r="A13" s="9"/>
    </row>
    <row r="14" spans="1:11" x14ac:dyDescent="0.2">
      <c r="A14" s="16" t="s">
        <v>158</v>
      </c>
      <c r="B14" s="33">
        <f>B4+1</f>
        <v>2</v>
      </c>
      <c r="G14" s="43" t="s">
        <v>179</v>
      </c>
      <c r="H14" s="43" t="str">
        <f>'Input Property 1'!C57</f>
        <v>Yes</v>
      </c>
    </row>
    <row r="15" spans="1:11" x14ac:dyDescent="0.2">
      <c r="A15" s="121"/>
      <c r="B15" s="121"/>
      <c r="C15" s="126" t="s">
        <v>32</v>
      </c>
      <c r="D15" s="126" t="s">
        <v>31</v>
      </c>
      <c r="E15" s="16" t="s">
        <v>33</v>
      </c>
      <c r="F15" s="16" t="s">
        <v>34</v>
      </c>
      <c r="G15" s="43">
        <f>'Data Property 1'!D206</f>
        <v>125460</v>
      </c>
      <c r="H15" s="43">
        <f>'Data Property 1'!D209</f>
        <v>122120.44494789628</v>
      </c>
      <c r="I15" s="43">
        <f>'Data Property 1'!D215</f>
        <v>97920</v>
      </c>
      <c r="J15" s="43">
        <f>'Data Property 1'!D218</f>
        <v>94580.444947896278</v>
      </c>
    </row>
    <row r="16" spans="1:11" x14ac:dyDescent="0.2">
      <c r="A16" s="122"/>
      <c r="B16" s="122"/>
      <c r="C16" s="43">
        <v>0</v>
      </c>
      <c r="D16" s="43">
        <v>18200</v>
      </c>
      <c r="E16" s="24"/>
      <c r="F16" s="45">
        <f>F6</f>
        <v>0</v>
      </c>
    </row>
    <row r="17" spans="1:10" x14ac:dyDescent="0.2">
      <c r="A17" s="122"/>
      <c r="B17" s="122"/>
      <c r="C17" s="43">
        <f>D16+1</f>
        <v>18201</v>
      </c>
      <c r="D17" s="43">
        <v>37000</v>
      </c>
      <c r="E17" s="24"/>
      <c r="F17" s="45">
        <f>F7</f>
        <v>0.19</v>
      </c>
      <c r="G17" s="43">
        <f>IF(G15&gt;'Tax Table'!C17,IF('Tax Table'!D17&gt;G15,(G15-'Tax Table'!C17)*'Tax Table'!F17,('Tax Table'!D17-'Tax Table'!C17)*'Tax Table'!F17))</f>
        <v>3571.81</v>
      </c>
      <c r="H17" s="43">
        <f>IF(H15&gt;'Tax Table'!C17,IF('Tax Table'!D17&gt;H15,(H15-'Tax Table'!C17)*'Tax Table'!F17,('Tax Table'!D17-'Tax Table'!C17)*'Tax Table'!F17))</f>
        <v>3571.81</v>
      </c>
      <c r="I17" s="43">
        <f>IF(I15&gt;'Tax Table'!C17,IF('Tax Table'!D17&gt;I15,(I15-'Tax Table'!C17)*'Tax Table'!F17,('Tax Table'!D17-'Tax Table'!C17)*'Tax Table'!F17),0)</f>
        <v>3571.81</v>
      </c>
      <c r="J17" s="43">
        <f>IF(J15&gt;'Tax Table'!C17,IF('Tax Table'!D17&gt;J15,(J15-'Tax Table'!C17)*'Tax Table'!F17,('Tax Table'!D17-'Tax Table'!C17)*'Tax Table'!F17),0)</f>
        <v>3571.81</v>
      </c>
    </row>
    <row r="18" spans="1:10" x14ac:dyDescent="0.2">
      <c r="A18" s="122"/>
      <c r="B18" s="122"/>
      <c r="C18" s="43">
        <f>D17+1</f>
        <v>37001</v>
      </c>
      <c r="D18" s="43">
        <v>80000</v>
      </c>
      <c r="E18" s="24"/>
      <c r="F18" s="45">
        <f>F8</f>
        <v>0.32500000000000001</v>
      </c>
      <c r="G18" s="43">
        <f>IF(G15&gt;'Tax Table'!C18,IF('Tax Table'!D18&gt;G15,(G15-'Tax Table'!C18)*'Tax Table'!F18,('Tax Table'!D18-'Tax Table'!C18)*'Tax Table'!F18))</f>
        <v>13974.675000000001</v>
      </c>
      <c r="H18" s="43">
        <f>IF(H15&gt;'Tax Table'!C18,IF('Tax Table'!D18&gt;H15,(H15-'Tax Table'!C18)*'Tax Table'!F18,('Tax Table'!D18-'Tax Table'!C18)*'Tax Table'!F18))</f>
        <v>13974.675000000001</v>
      </c>
      <c r="I18" s="43">
        <f>IF(I15&gt;'Tax Table'!C18,IF('Tax Table'!D18&gt;I15,(I15-'Tax Table'!C18)*'Tax Table'!F18,('Tax Table'!D18-'Tax Table'!C18)*'Tax Table'!F18),0)</f>
        <v>13974.675000000001</v>
      </c>
      <c r="J18" s="43">
        <f>IF(J15&gt;'Tax Table'!C18,IF('Tax Table'!D18&gt;J15,(J15-'Tax Table'!C18)*'Tax Table'!F18,('Tax Table'!D18-'Tax Table'!C18)*'Tax Table'!F18),0)</f>
        <v>13974.675000000001</v>
      </c>
    </row>
    <row r="19" spans="1:10" x14ac:dyDescent="0.2">
      <c r="A19" s="122"/>
      <c r="B19" s="122"/>
      <c r="C19" s="43">
        <f>D18+1</f>
        <v>80001</v>
      </c>
      <c r="D19" s="43">
        <v>180000</v>
      </c>
      <c r="E19" s="24"/>
      <c r="F19" s="45">
        <f>F9</f>
        <v>0.37</v>
      </c>
      <c r="G19" s="43">
        <f>IF(G15&gt;'Tax Table'!C19,IF('Tax Table'!D19&gt;G15,(G15-'Tax Table'!C19)*'Tax Table'!F19,('Tax Table'!D19-'Tax Table'!C19)*'Tax Table'!F19))</f>
        <v>16819.829999999998</v>
      </c>
      <c r="H19" s="43">
        <f>IF(H15&gt;'Tax Table'!C19,IF('Tax Table'!D19&gt;H15,(H15-'Tax Table'!C19)*'Tax Table'!F19,('Tax Table'!D19-'Tax Table'!C19)*'Tax Table'!F19))</f>
        <v>15584.194630721622</v>
      </c>
      <c r="I19" s="43">
        <f>IF(I15&gt;'Tax Table'!C19,IF('Tax Table'!D19&gt;I15,(I15-'Tax Table'!C19)*'Tax Table'!F19,('Tax Table'!D19-'Tax Table'!C19)*'Tax Table'!F19),0)</f>
        <v>6630.03</v>
      </c>
      <c r="J19" s="43">
        <f>IF(J15&gt;'Tax Table'!C19,IF('Tax Table'!D19&gt;J15,(J15-'Tax Table'!C19)*'Tax Table'!F19,('Tax Table'!D19-'Tax Table'!C19)*'Tax Table'!F19),0)</f>
        <v>5394.3946307216229</v>
      </c>
    </row>
    <row r="20" spans="1:10" x14ac:dyDescent="0.2">
      <c r="A20" s="122"/>
      <c r="B20" s="122"/>
      <c r="C20" s="43">
        <f>D19+1</f>
        <v>180001</v>
      </c>
      <c r="E20" s="24"/>
      <c r="F20" s="45">
        <f>F10</f>
        <v>0.45</v>
      </c>
      <c r="G20" s="43">
        <f>IF(G15&gt;'Tax Table'!C20,(G15-'Tax Table'!C20)*'Tax Table'!F20,0)</f>
        <v>0</v>
      </c>
      <c r="H20" s="43">
        <f>IF(H15&gt;'Tax Table'!C20,(H15-'Tax Table'!C20)*'Tax Table'!F20,0)</f>
        <v>0</v>
      </c>
      <c r="I20" s="43">
        <f>IF(I15&gt;'Tax Table'!C20,(I15-'Tax Table'!C20)*'Tax Table'!F20,0)</f>
        <v>0</v>
      </c>
      <c r="J20" s="43">
        <f>IF(J15&gt;'Tax Table'!C20,(J15-'Tax Table'!C20)*'Tax Table'!F20,0)</f>
        <v>0</v>
      </c>
    </row>
    <row r="21" spans="1:10" x14ac:dyDescent="0.2">
      <c r="A21" s="62"/>
      <c r="B21" s="62" t="s">
        <v>168</v>
      </c>
      <c r="C21" s="43">
        <v>50000</v>
      </c>
      <c r="D21" s="43" t="s">
        <v>171</v>
      </c>
      <c r="E21" s="24"/>
      <c r="F21" s="45">
        <v>0.01</v>
      </c>
      <c r="G21" s="43">
        <f>IF(H14="Yes",IF(G15&gt;C21,(G15-E21)*'Tax Table'!F21,0),0)</f>
        <v>1254.6000000000001</v>
      </c>
      <c r="H21" s="43">
        <f>IF(H14="Yes",IF(H15&gt;C21,(H15-E21)*'Tax Table'!F21,0),0)</f>
        <v>1221.2044494789627</v>
      </c>
      <c r="I21" s="43">
        <f>IF(H14="Yes",IF(I15&gt;C21,(I15-E21)*'Tax Table'!F21,0),0)</f>
        <v>979.2</v>
      </c>
      <c r="J21" s="43">
        <f>IF(H14="Yes",IF(J15&gt;C21,(J15-E21)*'Tax Table'!F21,0),0)</f>
        <v>945.80444947896285</v>
      </c>
    </row>
    <row r="22" spans="1:10" x14ac:dyDescent="0.2">
      <c r="A22" s="62"/>
      <c r="B22" s="56" t="s">
        <v>167</v>
      </c>
      <c r="C22" s="43">
        <v>16000</v>
      </c>
      <c r="D22" s="43" t="s">
        <v>171</v>
      </c>
      <c r="E22" s="24"/>
      <c r="F22" s="45">
        <v>1.4999999999999999E-2</v>
      </c>
      <c r="G22" s="43">
        <f>IF(G15&gt;C22,(G15-E22)*'Tax Table'!F22,0)</f>
        <v>1881.8999999999999</v>
      </c>
      <c r="H22" s="43">
        <f>IF(H15&gt;C22,(H15-E22)*'Tax Table'!F22,0)</f>
        <v>1831.8066742184442</v>
      </c>
      <c r="I22" s="43">
        <f>IF(I15&gt;C22,(I15-E22)*'Tax Table'!F22,0)</f>
        <v>1468.8</v>
      </c>
      <c r="J22" s="43">
        <f>IF(J15&gt;C22,(J15-E22)*'Tax Table'!F22,0)</f>
        <v>1418.706674218444</v>
      </c>
    </row>
    <row r="23" spans="1:10" ht="13.5" thickBot="1" x14ac:dyDescent="0.25">
      <c r="G23" s="44">
        <f>SUM(G16:G20)</f>
        <v>34366.315000000002</v>
      </c>
      <c r="H23" s="44">
        <f>SUM(H16:H20)</f>
        <v>33130.679630721621</v>
      </c>
      <c r="I23" s="44">
        <f>SUM(I16:I20)</f>
        <v>24176.514999999999</v>
      </c>
      <c r="J23" s="44">
        <f>SUM(J16:J20)</f>
        <v>22940.879630721625</v>
      </c>
    </row>
    <row r="24" spans="1:10" ht="13.5" thickTop="1" x14ac:dyDescent="0.2">
      <c r="A24" s="57" t="s">
        <v>158</v>
      </c>
      <c r="B24" s="33">
        <f>B14+1</f>
        <v>3</v>
      </c>
      <c r="G24" s="43" t="s">
        <v>178</v>
      </c>
      <c r="H24" s="43" t="str">
        <f>'Input Property 1'!D57</f>
        <v>Yes</v>
      </c>
    </row>
    <row r="25" spans="1:10" x14ac:dyDescent="0.2">
      <c r="A25" s="121"/>
      <c r="B25" s="121"/>
      <c r="C25" s="126" t="s">
        <v>32</v>
      </c>
      <c r="D25" s="126" t="s">
        <v>31</v>
      </c>
      <c r="E25" s="16" t="s">
        <v>33</v>
      </c>
      <c r="F25" s="16" t="s">
        <v>34</v>
      </c>
      <c r="G25" s="43">
        <f>'Data Property 1'!E206</f>
        <v>127969.2</v>
      </c>
      <c r="H25" s="43">
        <f>'Data Property 1'!E209</f>
        <v>125000.90486044642</v>
      </c>
      <c r="I25" s="43">
        <f>'Data Property 1'!E215</f>
        <v>99878.400000000009</v>
      </c>
      <c r="J25" s="43">
        <f>'Data Property 1'!E218</f>
        <v>96910.10486044643</v>
      </c>
    </row>
    <row r="26" spans="1:10" x14ac:dyDescent="0.2">
      <c r="A26" s="122"/>
      <c r="B26" s="122"/>
      <c r="C26" s="43">
        <f t="shared" ref="C26:F32" si="1">C16</f>
        <v>0</v>
      </c>
      <c r="D26" s="43">
        <f t="shared" si="1"/>
        <v>18200</v>
      </c>
      <c r="E26" s="24">
        <f t="shared" si="1"/>
        <v>0</v>
      </c>
      <c r="F26" s="45">
        <f t="shared" si="1"/>
        <v>0</v>
      </c>
    </row>
    <row r="27" spans="1:10" x14ac:dyDescent="0.2">
      <c r="A27" s="122"/>
      <c r="B27" s="122"/>
      <c r="C27" s="43">
        <f t="shared" si="1"/>
        <v>18201</v>
      </c>
      <c r="D27" s="43">
        <f>D17</f>
        <v>37000</v>
      </c>
      <c r="E27" s="24">
        <f t="shared" si="1"/>
        <v>0</v>
      </c>
      <c r="F27" s="45">
        <f t="shared" si="1"/>
        <v>0.19</v>
      </c>
      <c r="G27" s="43">
        <f>IF(G25&gt;'Tax Table'!C27,IF('Tax Table'!D27&gt;G25,(G25-'Tax Table'!C27)*'Tax Table'!F27,('Tax Table'!D27-'Tax Table'!C27)*'Tax Table'!F27))</f>
        <v>3571.81</v>
      </c>
      <c r="H27" s="43">
        <f>IF(H25&gt;'Tax Table'!C27,IF('Tax Table'!D27&gt;H25,(H25-'Tax Table'!C27)*'Tax Table'!F27,('Tax Table'!D27-'Tax Table'!C27)*'Tax Table'!F27))</f>
        <v>3571.81</v>
      </c>
      <c r="I27" s="43">
        <f>IF(I25&gt;'Tax Table'!C27,IF('Tax Table'!D27&gt;I25,(I25-'Tax Table'!C27)*'Tax Table'!F27,('Tax Table'!D27-'Tax Table'!C27)*'Tax Table'!F27),0)</f>
        <v>3571.81</v>
      </c>
      <c r="J27" s="43">
        <f>IF(J25&gt;'Tax Table'!C27,IF('Tax Table'!D27&gt;J25,(J25-'Tax Table'!C27)*'Tax Table'!F27,('Tax Table'!D27-'Tax Table'!C27)*'Tax Table'!F27),0)</f>
        <v>3571.81</v>
      </c>
    </row>
    <row r="28" spans="1:10" x14ac:dyDescent="0.2">
      <c r="A28" s="122"/>
      <c r="B28" s="122"/>
      <c r="C28" s="43">
        <f>C18</f>
        <v>37001</v>
      </c>
      <c r="D28" s="43">
        <f t="shared" si="1"/>
        <v>80000</v>
      </c>
      <c r="E28" s="24">
        <f t="shared" si="1"/>
        <v>0</v>
      </c>
      <c r="F28" s="45">
        <f t="shared" si="1"/>
        <v>0.32500000000000001</v>
      </c>
      <c r="G28" s="43">
        <f>IF(G25&gt;'Tax Table'!C28,IF('Tax Table'!D28&gt;G25,(G25-'Tax Table'!C28)*'Tax Table'!F28,('Tax Table'!D28-'Tax Table'!C28)*'Tax Table'!F28))</f>
        <v>13974.675000000001</v>
      </c>
      <c r="H28" s="43">
        <f>IF(H25&gt;'Tax Table'!C28,IF('Tax Table'!D28&gt;H25,(H25-'Tax Table'!C28)*'Tax Table'!F28,('Tax Table'!D28-'Tax Table'!C28)*'Tax Table'!F28))</f>
        <v>13974.675000000001</v>
      </c>
      <c r="I28" s="43">
        <f>IF(I25&gt;'Tax Table'!C28,IF('Tax Table'!D28&gt;I25,(I25-'Tax Table'!C28)*'Tax Table'!F28,('Tax Table'!D28-'Tax Table'!C28)*'Tax Table'!F28),0)</f>
        <v>13974.675000000001</v>
      </c>
      <c r="J28" s="43">
        <f>IF(J25&gt;'Tax Table'!C28,IF('Tax Table'!D28&gt;J25,(J25-'Tax Table'!C28)*'Tax Table'!F28,('Tax Table'!D28-'Tax Table'!C28)*'Tax Table'!F28),0)</f>
        <v>13974.675000000001</v>
      </c>
    </row>
    <row r="29" spans="1:10" x14ac:dyDescent="0.2">
      <c r="A29" s="122"/>
      <c r="B29" s="122"/>
      <c r="C29" s="43">
        <f t="shared" si="1"/>
        <v>80001</v>
      </c>
      <c r="D29" s="43">
        <f t="shared" si="1"/>
        <v>180000</v>
      </c>
      <c r="E29" s="24">
        <f t="shared" si="1"/>
        <v>0</v>
      </c>
      <c r="F29" s="45">
        <f t="shared" si="1"/>
        <v>0.37</v>
      </c>
      <c r="G29" s="43">
        <f>IF(G25&gt;'Tax Table'!C29,IF('Tax Table'!D29&gt;G25,(G25-'Tax Table'!C29)*'Tax Table'!F29,('Tax Table'!D29-'Tax Table'!C29)*'Tax Table'!F29))</f>
        <v>17748.234</v>
      </c>
      <c r="H29" s="43">
        <f>IF(H25&gt;'Tax Table'!C29,IF('Tax Table'!D29&gt;H25,(H25-'Tax Table'!C29)*'Tax Table'!F29,('Tax Table'!D29-'Tax Table'!C29)*'Tax Table'!F29))</f>
        <v>16649.964798365174</v>
      </c>
      <c r="I29" s="43">
        <f>IF(I25&gt;'Tax Table'!C29,IF('Tax Table'!D29&gt;I25,(I25-'Tax Table'!C29)*'Tax Table'!F29,('Tax Table'!D29-'Tax Table'!C29)*'Tax Table'!F29),0)</f>
        <v>7354.6380000000036</v>
      </c>
      <c r="J29" s="43">
        <f>IF(J25&gt;'Tax Table'!C29,IF('Tax Table'!D29&gt;J25,(J25-'Tax Table'!C29)*'Tax Table'!F29,('Tax Table'!D29-'Tax Table'!C29)*'Tax Table'!F29),0)</f>
        <v>6256.3687983651789</v>
      </c>
    </row>
    <row r="30" spans="1:10" x14ac:dyDescent="0.2">
      <c r="A30" s="122"/>
      <c r="B30" s="122"/>
      <c r="C30" s="43">
        <f t="shared" si="1"/>
        <v>180001</v>
      </c>
      <c r="D30" s="43">
        <f t="shared" si="1"/>
        <v>0</v>
      </c>
      <c r="E30" s="24">
        <f t="shared" si="1"/>
        <v>0</v>
      </c>
      <c r="F30" s="45">
        <f t="shared" si="1"/>
        <v>0.45</v>
      </c>
      <c r="G30" s="43">
        <f>IF(G25&gt;'Tax Table'!C30,(G25-'Tax Table'!C30)*'Tax Table'!F30,0)</f>
        <v>0</v>
      </c>
      <c r="H30" s="43">
        <f>IF(H25&gt;'Tax Table'!C30,(H25-'Tax Table'!C30)*'Tax Table'!F30,0)</f>
        <v>0</v>
      </c>
      <c r="I30" s="43">
        <f>IF(I25&gt;'Tax Table'!C30,(I25-'Tax Table'!C30)*'Tax Table'!F30,0)</f>
        <v>0</v>
      </c>
      <c r="J30" s="43">
        <f>IF(J25&gt;'Tax Table'!C30,(J25-'Tax Table'!C30)*'Tax Table'!F30,0)</f>
        <v>0</v>
      </c>
    </row>
    <row r="31" spans="1:10" x14ac:dyDescent="0.2">
      <c r="B31" s="64" t="str">
        <f>B21</f>
        <v>Medicare Surchage</v>
      </c>
      <c r="C31" s="127">
        <f t="shared" si="1"/>
        <v>50000</v>
      </c>
      <c r="D31" s="127" t="str">
        <f t="shared" si="1"/>
        <v>From</v>
      </c>
      <c r="E31" s="64">
        <f t="shared" si="1"/>
        <v>0</v>
      </c>
      <c r="F31" s="45">
        <f t="shared" si="1"/>
        <v>0.01</v>
      </c>
      <c r="G31" s="43">
        <f>IF(H24="Yes",IF(G25&gt;C31,(G25-E31)*'Tax Table'!F31,0),0)</f>
        <v>1279.692</v>
      </c>
      <c r="H31" s="43">
        <f>IF(H24="Yes",IF(H25&gt;C31,(H25-E31)*'Tax Table'!F31,0),0)</f>
        <v>1250.0090486044642</v>
      </c>
      <c r="I31" s="43">
        <f>IF(H24="Yes",IF(I25&gt;C31,(I25-E31)*'Tax Table'!F31,0),0)</f>
        <v>998.78400000000011</v>
      </c>
      <c r="J31" s="43">
        <f>IF(H24="Yes",IF(J25&gt;C31,(J25-E31)*'Tax Table'!F31,0),0)</f>
        <v>969.10104860446427</v>
      </c>
    </row>
    <row r="32" spans="1:10" x14ac:dyDescent="0.2">
      <c r="B32" s="64" t="str">
        <f>B22</f>
        <v>Medicare Levy</v>
      </c>
      <c r="C32" s="127">
        <f t="shared" si="1"/>
        <v>16000</v>
      </c>
      <c r="D32" s="127" t="str">
        <f t="shared" si="1"/>
        <v>From</v>
      </c>
      <c r="E32" s="64">
        <f t="shared" si="1"/>
        <v>0</v>
      </c>
      <c r="F32" s="45">
        <f t="shared" si="1"/>
        <v>1.4999999999999999E-2</v>
      </c>
      <c r="G32" s="43">
        <f>IF(G25&gt;C32,(G25-E32)*'Tax Table'!F32,0)</f>
        <v>1919.5379999999998</v>
      </c>
      <c r="H32" s="43">
        <f>IF(H25&gt;C32,(H25-E32)*'Tax Table'!F32,0)</f>
        <v>1875.0135729066963</v>
      </c>
      <c r="I32" s="43">
        <f>IF(I25&gt;C32,(I25-E32)*'Tax Table'!F32,0)</f>
        <v>1498.1760000000002</v>
      </c>
      <c r="J32" s="43">
        <f>IF(J25&gt;C32,(J25-E32)*'Tax Table'!F32,0)</f>
        <v>1453.6515729066964</v>
      </c>
    </row>
    <row r="33" spans="1:10" ht="13.5" thickBot="1" x14ac:dyDescent="0.25">
      <c r="G33" s="44">
        <f>SUM(G26:G30)</f>
        <v>35294.718999999997</v>
      </c>
      <c r="H33" s="44">
        <f>SUM(H26:H30)</f>
        <v>34196.449798365175</v>
      </c>
      <c r="I33" s="44">
        <f>SUM(I26:I30)</f>
        <v>24901.123000000003</v>
      </c>
      <c r="J33" s="44">
        <f>SUM(J26:J30)</f>
        <v>23802.85379836518</v>
      </c>
    </row>
    <row r="34" spans="1:10" ht="13.5" thickTop="1" x14ac:dyDescent="0.2">
      <c r="A34" t="s">
        <v>158</v>
      </c>
      <c r="B34">
        <v>4</v>
      </c>
      <c r="G34" s="43" t="s">
        <v>177</v>
      </c>
      <c r="H34" s="43" t="str">
        <f>'Input Property 1'!E57</f>
        <v>Yes</v>
      </c>
    </row>
    <row r="35" spans="1:10" x14ac:dyDescent="0.2">
      <c r="A35" s="121"/>
      <c r="B35" s="121"/>
      <c r="C35" s="43" t="str">
        <f t="shared" ref="C35:F40" si="2">C25</f>
        <v>Lower</v>
      </c>
      <c r="D35" s="43" t="str">
        <f t="shared" si="2"/>
        <v>Upper</v>
      </c>
      <c r="E35" t="str">
        <f t="shared" si="2"/>
        <v>Fixed</v>
      </c>
      <c r="F35" t="str">
        <f t="shared" si="2"/>
        <v>Variable</v>
      </c>
      <c r="G35" s="43">
        <f>'Data Property 1'!F206</f>
        <v>130528.584</v>
      </c>
      <c r="H35" s="43">
        <f>'Data Property 1'!F209</f>
        <v>127896.6990266558</v>
      </c>
      <c r="I35" s="43">
        <f>'Data Property 1'!F215</f>
        <v>101875.96800000001</v>
      </c>
      <c r="J35" s="43">
        <f>'Data Property 1'!F218</f>
        <v>99244.083026655804</v>
      </c>
    </row>
    <row r="36" spans="1:10" x14ac:dyDescent="0.2">
      <c r="A36" s="122"/>
      <c r="B36" s="122"/>
      <c r="C36" s="43">
        <f t="shared" si="2"/>
        <v>0</v>
      </c>
      <c r="D36" s="43">
        <f t="shared" si="2"/>
        <v>18200</v>
      </c>
      <c r="E36">
        <f t="shared" si="2"/>
        <v>0</v>
      </c>
      <c r="F36" s="45">
        <f t="shared" si="2"/>
        <v>0</v>
      </c>
    </row>
    <row r="37" spans="1:10" x14ac:dyDescent="0.2">
      <c r="A37" s="122"/>
      <c r="B37" s="122"/>
      <c r="C37" s="43">
        <f t="shared" si="2"/>
        <v>18201</v>
      </c>
      <c r="D37" s="43">
        <f>D27</f>
        <v>37000</v>
      </c>
      <c r="E37">
        <f t="shared" si="2"/>
        <v>0</v>
      </c>
      <c r="F37" s="45">
        <f t="shared" si="2"/>
        <v>0.19</v>
      </c>
      <c r="G37" s="43">
        <f>IF(G35&gt;'Tax Table'!C37,IF('Tax Table'!D37&gt;G35,(G35-'Tax Table'!C37)*'Tax Table'!F37,('Tax Table'!D37-'Tax Table'!C37)*'Tax Table'!F37))</f>
        <v>3571.81</v>
      </c>
      <c r="H37" s="43">
        <f>IF(H35&gt;'Tax Table'!C37,IF('Tax Table'!D37&gt;H35,(H35-'Tax Table'!C37)*'Tax Table'!F37,('Tax Table'!D37-'Tax Table'!C37)*'Tax Table'!F37))</f>
        <v>3571.81</v>
      </c>
      <c r="I37" s="43">
        <f>IF(I35&gt;'Tax Table'!C37,IF('Tax Table'!D37&gt;I35,(I35-'Tax Table'!C37)*'Tax Table'!F37,('Tax Table'!D37-'Tax Table'!C37)*'Tax Table'!F37),0)</f>
        <v>3571.81</v>
      </c>
      <c r="J37" s="43">
        <f>IF(J35&gt;'Tax Table'!C37,IF('Tax Table'!D37&gt;J35,(J35-'Tax Table'!C37)*'Tax Table'!F37,('Tax Table'!D37-'Tax Table'!C37)*'Tax Table'!F37),0)</f>
        <v>3571.81</v>
      </c>
    </row>
    <row r="38" spans="1:10" x14ac:dyDescent="0.2">
      <c r="A38" s="122"/>
      <c r="B38" s="122"/>
      <c r="C38" s="43">
        <f>C28</f>
        <v>37001</v>
      </c>
      <c r="D38" s="43">
        <f t="shared" si="2"/>
        <v>80000</v>
      </c>
      <c r="E38">
        <f t="shared" si="2"/>
        <v>0</v>
      </c>
      <c r="F38" s="45">
        <f t="shared" si="2"/>
        <v>0.32500000000000001</v>
      </c>
      <c r="G38" s="43">
        <f>IF(G35&gt;'Tax Table'!C38,IF('Tax Table'!D38&gt;G35,(G35-'Tax Table'!C38)*'Tax Table'!F38,('Tax Table'!D38-'Tax Table'!C38)*'Tax Table'!F38))</f>
        <v>13974.675000000001</v>
      </c>
      <c r="H38" s="43">
        <f>IF(H35&gt;'Tax Table'!C38,IF('Tax Table'!D38&gt;H35,(H35-'Tax Table'!C38)*'Tax Table'!F38,('Tax Table'!D38-'Tax Table'!C38)*'Tax Table'!F38))</f>
        <v>13974.675000000001</v>
      </c>
      <c r="I38" s="43">
        <f>IF(I35&gt;'Tax Table'!C38,IF('Tax Table'!D38&gt;I35,(I35-'Tax Table'!C38)*'Tax Table'!F38,('Tax Table'!D38-'Tax Table'!C38)*'Tax Table'!F38),0)</f>
        <v>13974.675000000001</v>
      </c>
      <c r="J38" s="43">
        <f>IF(J35&gt;'Tax Table'!C38,IF('Tax Table'!D38&gt;J35,(J35-'Tax Table'!C38)*'Tax Table'!F38,('Tax Table'!D38-'Tax Table'!C38)*'Tax Table'!F38),0)</f>
        <v>13974.675000000001</v>
      </c>
    </row>
    <row r="39" spans="1:10" x14ac:dyDescent="0.2">
      <c r="A39" s="122"/>
      <c r="B39" s="122"/>
      <c r="C39" s="43">
        <f t="shared" si="2"/>
        <v>80001</v>
      </c>
      <c r="D39" s="43">
        <f t="shared" si="2"/>
        <v>180000</v>
      </c>
      <c r="E39">
        <f t="shared" si="2"/>
        <v>0</v>
      </c>
      <c r="F39" s="45">
        <f t="shared" si="2"/>
        <v>0.37</v>
      </c>
      <c r="G39" s="43">
        <f>IF(G35&gt;'Tax Table'!C39,IF('Tax Table'!D39&gt;G35,(G35-'Tax Table'!C39)*'Tax Table'!F39,('Tax Table'!D39-'Tax Table'!C39)*'Tax Table'!F39))</f>
        <v>18695.20608</v>
      </c>
      <c r="H39" s="43">
        <f>IF(H35&gt;'Tax Table'!C39,IF('Tax Table'!D39&gt;H35,(H35-'Tax Table'!C39)*'Tax Table'!F39,('Tax Table'!D39-'Tax Table'!C39)*'Tax Table'!F39))</f>
        <v>17721.408639862646</v>
      </c>
      <c r="I39" s="43">
        <f>IF(I35&gt;'Tax Table'!C39,IF('Tax Table'!D39&gt;I35,(I35-'Tax Table'!C39)*'Tax Table'!F39,('Tax Table'!D39-'Tax Table'!C39)*'Tax Table'!F39),0)</f>
        <v>8093.7381600000026</v>
      </c>
      <c r="J39" s="43">
        <f>IF(J35&gt;'Tax Table'!C39,IF('Tax Table'!D39&gt;J35,(J35-'Tax Table'!C39)*'Tax Table'!F39,('Tax Table'!D39-'Tax Table'!C39)*'Tax Table'!F39),0)</f>
        <v>7119.9407198626477</v>
      </c>
    </row>
    <row r="40" spans="1:10" x14ac:dyDescent="0.2">
      <c r="A40" s="122"/>
      <c r="B40" s="122"/>
      <c r="C40" s="43">
        <f t="shared" si="2"/>
        <v>180001</v>
      </c>
      <c r="D40" s="43">
        <f t="shared" si="2"/>
        <v>0</v>
      </c>
      <c r="E40">
        <f t="shared" si="2"/>
        <v>0</v>
      </c>
      <c r="F40" s="45">
        <f t="shared" si="2"/>
        <v>0.45</v>
      </c>
      <c r="G40" s="43">
        <f>IF(G35&gt;'Tax Table'!C40,(G35-'Tax Table'!C40)*'Tax Table'!F40,0)</f>
        <v>0</v>
      </c>
      <c r="H40" s="43">
        <f>IF(H35&gt;'Tax Table'!C40,(H35-'Tax Table'!C40)*'Tax Table'!F40,0)</f>
        <v>0</v>
      </c>
      <c r="I40" s="43">
        <f>IF(I35&gt;'Tax Table'!C40,(I35-'Tax Table'!C40)*'Tax Table'!F40,0)</f>
        <v>0</v>
      </c>
      <c r="J40" s="43">
        <f>IF(J35&gt;'Tax Table'!C40,(J35-'Tax Table'!C40)*'Tax Table'!F40,0)</f>
        <v>0</v>
      </c>
    </row>
    <row r="41" spans="1:10" x14ac:dyDescent="0.2">
      <c r="B41" t="str">
        <f>B31</f>
        <v>Medicare Surchage</v>
      </c>
      <c r="C41" s="43">
        <f t="shared" ref="C41:F42" si="3">C31</f>
        <v>50000</v>
      </c>
      <c r="D41" s="43" t="str">
        <f t="shared" si="3"/>
        <v>From</v>
      </c>
      <c r="E41">
        <f t="shared" si="3"/>
        <v>0</v>
      </c>
      <c r="F41" s="45">
        <f t="shared" si="3"/>
        <v>0.01</v>
      </c>
      <c r="G41" s="43">
        <f>IF(H34="Yes",IF(G35&gt;C41,(G35-E41)*'Tax Table'!F41,0),0)</f>
        <v>1305.28584</v>
      </c>
      <c r="H41" s="43">
        <f>IF(H34="Yes",IF(H35&gt;C41,(H35-E41)*'Tax Table'!F41,0),0)</f>
        <v>1278.966990266558</v>
      </c>
      <c r="I41" s="43">
        <f>IF(H34="Yes",IF(I35&gt;C41,(I35-E41)*'Tax Table'!F41,0),0)</f>
        <v>1018.7596800000001</v>
      </c>
      <c r="J41" s="43">
        <f>IF(H34="Yes",IF(J35&gt;C41,(J35-E41)*'Tax Table'!F41,0),0)</f>
        <v>992.44083026655801</v>
      </c>
    </row>
    <row r="42" spans="1:10" x14ac:dyDescent="0.2">
      <c r="B42" t="str">
        <f>B32</f>
        <v>Medicare Levy</v>
      </c>
      <c r="C42" s="43">
        <f>C32</f>
        <v>16000</v>
      </c>
      <c r="D42" s="43" t="str">
        <f t="shared" si="3"/>
        <v>From</v>
      </c>
      <c r="E42">
        <f t="shared" si="3"/>
        <v>0</v>
      </c>
      <c r="F42" s="45">
        <f t="shared" si="3"/>
        <v>1.4999999999999999E-2</v>
      </c>
      <c r="G42" s="43">
        <f>IF(G35&gt;C42,(G35-E42)*'Tax Table'!F42,0)</f>
        <v>1957.92876</v>
      </c>
      <c r="H42" s="43">
        <f>IF(H35&gt;C42,(H35-E42)*'Tax Table'!F42,0)</f>
        <v>1918.4504853998369</v>
      </c>
      <c r="I42" s="43">
        <f>IF(I35&gt;C42,(I35-E42)*'Tax Table'!F42,0)</f>
        <v>1528.1395200000002</v>
      </c>
      <c r="J42" s="43">
        <f>IF(J35&gt;C42,(J35-E42)*'Tax Table'!F42,0)</f>
        <v>1488.6612453998371</v>
      </c>
    </row>
    <row r="43" spans="1:10" ht="13.5" thickBot="1" x14ac:dyDescent="0.25">
      <c r="G43" s="44">
        <f>SUM(G36:G40)</f>
        <v>36241.691080000004</v>
      </c>
      <c r="H43" s="44">
        <f>SUM(H36:H40)</f>
        <v>35267.893639862647</v>
      </c>
      <c r="I43" s="44">
        <f>SUM(I36:I40)</f>
        <v>25640.223160000001</v>
      </c>
      <c r="J43" s="44">
        <f>SUM(J36:J40)</f>
        <v>24666.425719862647</v>
      </c>
    </row>
    <row r="44" spans="1:10" ht="13.5" thickTop="1" x14ac:dyDescent="0.2">
      <c r="A44" t="s">
        <v>158</v>
      </c>
      <c r="B44">
        <f>B34+1</f>
        <v>5</v>
      </c>
      <c r="G44" s="43" t="s">
        <v>192</v>
      </c>
      <c r="H44" s="43" t="str">
        <f>'Input Property 1'!F57</f>
        <v>Yes</v>
      </c>
    </row>
    <row r="45" spans="1:10" x14ac:dyDescent="0.2">
      <c r="A45" s="121"/>
      <c r="B45" s="121"/>
      <c r="C45" s="43" t="str">
        <f t="shared" ref="C45:F52" si="4">C35</f>
        <v>Lower</v>
      </c>
      <c r="D45" s="43" t="str">
        <f t="shared" si="4"/>
        <v>Upper</v>
      </c>
      <c r="E45" t="str">
        <f t="shared" si="4"/>
        <v>Fixed</v>
      </c>
      <c r="F45" t="str">
        <f t="shared" si="4"/>
        <v>Variable</v>
      </c>
      <c r="G45" s="43">
        <f>'Data Property 1'!G206</f>
        <v>133139.15568</v>
      </c>
      <c r="H45" s="43">
        <f>'Data Property 1'!G209</f>
        <v>130819.08287358485</v>
      </c>
      <c r="I45" s="43">
        <f>'Data Property 1'!G215</f>
        <v>103913.48736000001</v>
      </c>
      <c r="J45" s="43">
        <f>'Data Property 1'!G218</f>
        <v>101593.41455358487</v>
      </c>
    </row>
    <row r="46" spans="1:10" x14ac:dyDescent="0.2">
      <c r="A46" s="122"/>
      <c r="B46" s="122"/>
      <c r="C46" s="43">
        <f t="shared" si="4"/>
        <v>0</v>
      </c>
      <c r="D46" s="43">
        <f t="shared" si="4"/>
        <v>18200</v>
      </c>
      <c r="E46">
        <f t="shared" si="4"/>
        <v>0</v>
      </c>
      <c r="F46" s="45">
        <f t="shared" si="4"/>
        <v>0</v>
      </c>
    </row>
    <row r="47" spans="1:10" x14ac:dyDescent="0.2">
      <c r="A47" s="122"/>
      <c r="B47" s="122"/>
      <c r="C47" s="43">
        <f t="shared" si="4"/>
        <v>18201</v>
      </c>
      <c r="D47" s="43">
        <f>D37</f>
        <v>37000</v>
      </c>
      <c r="E47">
        <f t="shared" si="4"/>
        <v>0</v>
      </c>
      <c r="F47" s="45">
        <f t="shared" si="4"/>
        <v>0.19</v>
      </c>
      <c r="G47" s="43">
        <f>IF(G45&gt;'Tax Table'!C47,IF('Tax Table'!D47&gt;G45,(G45-'Tax Table'!C47)*'Tax Table'!F47,('Tax Table'!D47-'Tax Table'!C47)*'Tax Table'!F47))</f>
        <v>3571.81</v>
      </c>
      <c r="H47" s="43">
        <f>IF(H45&gt;'Tax Table'!C47,IF('Tax Table'!D47&gt;H45,(H45-'Tax Table'!C47)*'Tax Table'!F47,('Tax Table'!D47-'Tax Table'!C47)*'Tax Table'!F47))</f>
        <v>3571.81</v>
      </c>
      <c r="I47" s="43">
        <f>IF(I45&gt;'Tax Table'!C47,IF('Tax Table'!D47&gt;I45,(I45-'Tax Table'!C47)*'Tax Table'!F47,('Tax Table'!D47-'Tax Table'!C47)*'Tax Table'!F47),0)</f>
        <v>3571.81</v>
      </c>
      <c r="J47" s="43">
        <f>IF(J45&gt;'Tax Table'!C47,IF('Tax Table'!D47&gt;J45,(J45-'Tax Table'!C47)*'Tax Table'!F47,('Tax Table'!D47-'Tax Table'!C47)*'Tax Table'!F47),0)</f>
        <v>3571.81</v>
      </c>
    </row>
    <row r="48" spans="1:10" x14ac:dyDescent="0.2">
      <c r="A48" s="122"/>
      <c r="B48" s="122"/>
      <c r="C48" s="43">
        <f>C38</f>
        <v>37001</v>
      </c>
      <c r="D48" s="43">
        <f t="shared" si="4"/>
        <v>80000</v>
      </c>
      <c r="E48">
        <f t="shared" si="4"/>
        <v>0</v>
      </c>
      <c r="F48" s="45">
        <f t="shared" si="4"/>
        <v>0.32500000000000001</v>
      </c>
      <c r="G48" s="43">
        <f>IF(G45&gt;'Tax Table'!C48,IF('Tax Table'!D48&gt;G45,(G45-'Tax Table'!C48)*'Tax Table'!F48,('Tax Table'!D48-'Tax Table'!C48)*'Tax Table'!F48))</f>
        <v>13974.675000000001</v>
      </c>
      <c r="H48" s="43">
        <f>IF(H45&gt;'Tax Table'!C48,IF('Tax Table'!D48&gt;H45,(H45-'Tax Table'!C48)*'Tax Table'!F48,('Tax Table'!D48-'Tax Table'!C48)*'Tax Table'!F48))</f>
        <v>13974.675000000001</v>
      </c>
      <c r="I48" s="43">
        <f>IF(I45&gt;'Tax Table'!C48,IF('Tax Table'!D48&gt;I45,(I45-'Tax Table'!C48)*'Tax Table'!F48,('Tax Table'!D48-'Tax Table'!C48)*'Tax Table'!F48),0)</f>
        <v>13974.675000000001</v>
      </c>
      <c r="J48" s="43">
        <f>IF(J45&gt;'Tax Table'!C48,IF('Tax Table'!D48&gt;J45,(J45-'Tax Table'!C48)*'Tax Table'!F48,('Tax Table'!D48-'Tax Table'!C48)*'Tax Table'!F48),0)</f>
        <v>13974.675000000001</v>
      </c>
    </row>
    <row r="49" spans="1:10" x14ac:dyDescent="0.2">
      <c r="A49" s="122"/>
      <c r="B49" s="122"/>
      <c r="C49" s="43">
        <f t="shared" si="4"/>
        <v>80001</v>
      </c>
      <c r="D49" s="43">
        <f t="shared" si="4"/>
        <v>180000</v>
      </c>
      <c r="E49">
        <f t="shared" si="4"/>
        <v>0</v>
      </c>
      <c r="F49" s="45">
        <f t="shared" si="4"/>
        <v>0.37</v>
      </c>
      <c r="G49" s="43">
        <f>IF(G45&gt;'Tax Table'!C49,IF('Tax Table'!D49&gt;G45,(G45-'Tax Table'!C49)*'Tax Table'!F49,('Tax Table'!D49-'Tax Table'!C49)*'Tax Table'!F49))</f>
        <v>19661.117601599999</v>
      </c>
      <c r="H49" s="43">
        <f>IF(H45&gt;'Tax Table'!C49,IF('Tax Table'!D49&gt;H45,(H45-'Tax Table'!C49)*'Tax Table'!F49,('Tax Table'!D49-'Tax Table'!C49)*'Tax Table'!F49))</f>
        <v>18802.690663226393</v>
      </c>
      <c r="I49" s="43">
        <f>IF(I45&gt;'Tax Table'!C49,IF('Tax Table'!D49&gt;I45,(I45-'Tax Table'!C49)*'Tax Table'!F49,('Tax Table'!D49-'Tax Table'!C49)*'Tax Table'!F49),0)</f>
        <v>8847.6203232000043</v>
      </c>
      <c r="J49" s="43">
        <f>IF(J45&gt;'Tax Table'!C49,IF('Tax Table'!D49&gt;J45,(J45-'Tax Table'!C49)*'Tax Table'!F49,('Tax Table'!D49-'Tax Table'!C49)*'Tax Table'!F49),0)</f>
        <v>7989.1933848263998</v>
      </c>
    </row>
    <row r="50" spans="1:10" x14ac:dyDescent="0.2">
      <c r="A50" s="122"/>
      <c r="B50" s="122"/>
      <c r="C50" s="43">
        <f t="shared" si="4"/>
        <v>180001</v>
      </c>
      <c r="D50" s="43">
        <f t="shared" si="4"/>
        <v>0</v>
      </c>
      <c r="E50">
        <f t="shared" si="4"/>
        <v>0</v>
      </c>
      <c r="F50" s="45">
        <f t="shared" si="4"/>
        <v>0.45</v>
      </c>
      <c r="G50" s="43">
        <f>IF(G45&gt;'Tax Table'!C50,(G45-'Tax Table'!C50)*'Tax Table'!F50,0)</f>
        <v>0</v>
      </c>
      <c r="H50" s="43">
        <f>IF(H45&gt;'Tax Table'!C50,(H45-'Tax Table'!C50)*'Tax Table'!F50,0)</f>
        <v>0</v>
      </c>
      <c r="I50" s="43">
        <f>IF(I45&gt;'Tax Table'!C50,(I45-'Tax Table'!C50)*'Tax Table'!F50,0)</f>
        <v>0</v>
      </c>
      <c r="J50" s="43">
        <f>IF(J45&gt;'Tax Table'!C50,(J45-'Tax Table'!C50)*'Tax Table'!F50,0)</f>
        <v>0</v>
      </c>
    </row>
    <row r="51" spans="1:10" x14ac:dyDescent="0.2">
      <c r="B51" t="str">
        <f>B41</f>
        <v>Medicare Surchage</v>
      </c>
      <c r="C51" s="43">
        <f t="shared" si="4"/>
        <v>50000</v>
      </c>
      <c r="D51" s="43" t="str">
        <f t="shared" si="4"/>
        <v>From</v>
      </c>
      <c r="E51">
        <f t="shared" si="4"/>
        <v>0</v>
      </c>
      <c r="F51" s="45">
        <f t="shared" si="4"/>
        <v>0.01</v>
      </c>
      <c r="G51" s="43">
        <f>IF(H44="Yes",IF(G45&gt;C51,(G45-E51)*'Tax Table'!F51,0),0)</f>
        <v>1331.3915568</v>
      </c>
      <c r="H51" s="43">
        <f>IF(H44="Yes",IF(H45&gt;C51,(H45-E51)*'Tax Table'!F51,0),0)</f>
        <v>1308.1908287358485</v>
      </c>
      <c r="I51" s="43">
        <f>IF(H44="Yes",IF(I45&gt;C51,(I45-E51)*'Tax Table'!F51,0),0)</f>
        <v>1039.1348736000002</v>
      </c>
      <c r="J51" s="43">
        <f>IF(H44="Yes",IF(J45&gt;C51,(J45-E51)*'Tax Table'!F51,0),0)</f>
        <v>1015.9341455358486</v>
      </c>
    </row>
    <row r="52" spans="1:10" x14ac:dyDescent="0.2">
      <c r="B52" t="str">
        <f>B42</f>
        <v>Medicare Levy</v>
      </c>
      <c r="C52" s="43">
        <f t="shared" si="4"/>
        <v>16000</v>
      </c>
      <c r="D52" s="43" t="str">
        <f t="shared" si="4"/>
        <v>From</v>
      </c>
      <c r="E52">
        <f t="shared" si="4"/>
        <v>0</v>
      </c>
      <c r="F52" s="45">
        <f t="shared" si="4"/>
        <v>1.4999999999999999E-2</v>
      </c>
      <c r="G52" s="43">
        <f>IF(G45&gt;C52,(G45-E52)*'Tax Table'!F52,0)</f>
        <v>1997.0873351999999</v>
      </c>
      <c r="H52" s="43">
        <f>IF(H45&gt;C52,(H45-E52)*'Tax Table'!F52,0)</f>
        <v>1962.2862431037727</v>
      </c>
      <c r="I52" s="43">
        <f>IF(I45&gt;C52,(I45-E52)*'Tax Table'!F52,0)</f>
        <v>1558.7023104000002</v>
      </c>
      <c r="J52" s="43">
        <f>IF(J45&gt;C52,(J45-E52)*'Tax Table'!F52,0)</f>
        <v>1523.901218303773</v>
      </c>
    </row>
    <row r="53" spans="1:10" ht="13.5" thickBot="1" x14ac:dyDescent="0.25">
      <c r="G53" s="44">
        <f>SUM(G46:G50)</f>
        <v>37207.602601599996</v>
      </c>
      <c r="H53" s="44">
        <f>SUM(H46:H50)</f>
        <v>36349.175663226393</v>
      </c>
      <c r="I53" s="44">
        <f>SUM(I46:I50)</f>
        <v>26394.105323200005</v>
      </c>
      <c r="J53" s="44">
        <f>SUM(J46:J50)</f>
        <v>25535.678384826402</v>
      </c>
    </row>
    <row r="54" spans="1:10" ht="13.5" thickTop="1" x14ac:dyDescent="0.2">
      <c r="B54">
        <f>B44+1</f>
        <v>6</v>
      </c>
      <c r="G54" s="43" t="s">
        <v>193</v>
      </c>
      <c r="H54" s="43" t="str">
        <f>'Input Property 1'!G57</f>
        <v>Yes</v>
      </c>
    </row>
    <row r="55" spans="1:10" x14ac:dyDescent="0.2">
      <c r="C55" s="43" t="str">
        <f t="shared" ref="C55:F62" si="5">C45</f>
        <v>Lower</v>
      </c>
      <c r="D55" s="43" t="str">
        <f t="shared" si="5"/>
        <v>Upper</v>
      </c>
      <c r="E55" t="str">
        <f t="shared" si="5"/>
        <v>Fixed</v>
      </c>
      <c r="F55" t="str">
        <f t="shared" si="5"/>
        <v>Variable</v>
      </c>
      <c r="G55" s="43">
        <f>'Data Property 1'!H206</f>
        <v>135801.93879360001</v>
      </c>
      <c r="H55" s="43">
        <f>'Data Property 1'!H209</f>
        <v>133967.88363099925</v>
      </c>
      <c r="I55" s="43">
        <f>'Data Property 1'!H215</f>
        <v>105991.75710720001</v>
      </c>
      <c r="J55" s="43">
        <f>'Data Property 1'!H218</f>
        <v>104157.70194459925</v>
      </c>
    </row>
    <row r="56" spans="1:10" x14ac:dyDescent="0.2">
      <c r="C56" s="43">
        <f t="shared" si="5"/>
        <v>0</v>
      </c>
      <c r="D56" s="43">
        <f t="shared" si="5"/>
        <v>18200</v>
      </c>
      <c r="E56">
        <f t="shared" si="5"/>
        <v>0</v>
      </c>
      <c r="F56" s="45">
        <f t="shared" si="5"/>
        <v>0</v>
      </c>
    </row>
    <row r="57" spans="1:10" x14ac:dyDescent="0.2">
      <c r="C57" s="43">
        <f t="shared" si="5"/>
        <v>18201</v>
      </c>
      <c r="D57" s="43">
        <f t="shared" si="5"/>
        <v>37000</v>
      </c>
      <c r="E57">
        <f t="shared" si="5"/>
        <v>0</v>
      </c>
      <c r="F57" s="45">
        <f t="shared" si="5"/>
        <v>0.19</v>
      </c>
      <c r="G57" s="43">
        <f>IF(G55&gt;'Tax Table'!C57,IF('Tax Table'!D57&gt;G55,(G55-'Tax Table'!C57)*'Tax Table'!F57,('Tax Table'!D57-'Tax Table'!C57)*'Tax Table'!F57))</f>
        <v>3571.81</v>
      </c>
      <c r="H57" s="43">
        <f>IF(H55&gt;'Tax Table'!C57,IF('Tax Table'!D57&gt;H55,(H55-'Tax Table'!C57)*'Tax Table'!F57,('Tax Table'!D57-'Tax Table'!C57)*'Tax Table'!F57))</f>
        <v>3571.81</v>
      </c>
      <c r="I57" s="43">
        <f>IF(I55&gt;'Tax Table'!C57,IF('Tax Table'!D57&gt;I55,(I55-'Tax Table'!C57)*'Tax Table'!F57,('Tax Table'!D57-'Tax Table'!C57)*'Tax Table'!F57),0)</f>
        <v>3571.81</v>
      </c>
      <c r="J57" s="43">
        <f>IF(J55&gt;'Tax Table'!C57,IF('Tax Table'!D57&gt;J55,(J55-'Tax Table'!C57)*'Tax Table'!F57,('Tax Table'!D57-'Tax Table'!C57)*'Tax Table'!F57),0)</f>
        <v>3571.81</v>
      </c>
    </row>
    <row r="58" spans="1:10" x14ac:dyDescent="0.2">
      <c r="C58" s="43">
        <f t="shared" si="5"/>
        <v>37001</v>
      </c>
      <c r="D58" s="43">
        <f t="shared" si="5"/>
        <v>80000</v>
      </c>
      <c r="E58">
        <f t="shared" si="5"/>
        <v>0</v>
      </c>
      <c r="F58" s="45">
        <f t="shared" si="5"/>
        <v>0.32500000000000001</v>
      </c>
      <c r="G58" s="43">
        <f>IF(G55&gt;'Tax Table'!C58,IF('Tax Table'!D58&gt;G55,(G55-'Tax Table'!C58)*'Tax Table'!F58,('Tax Table'!D58-'Tax Table'!C58)*'Tax Table'!F58))</f>
        <v>13974.675000000001</v>
      </c>
      <c r="H58" s="43">
        <f>IF(H55&gt;'Tax Table'!C58,IF('Tax Table'!D58&gt;H55,(H55-'Tax Table'!C58)*'Tax Table'!F58,('Tax Table'!D58-'Tax Table'!C58)*'Tax Table'!F58))</f>
        <v>13974.675000000001</v>
      </c>
      <c r="I58" s="43">
        <f>IF(I55&gt;'Tax Table'!C58,IF('Tax Table'!D58&gt;I55,(I55-'Tax Table'!C58)*'Tax Table'!F58,('Tax Table'!D58-'Tax Table'!C58)*'Tax Table'!F58),0)</f>
        <v>13974.675000000001</v>
      </c>
      <c r="J58" s="43">
        <f>IF(J55&gt;'Tax Table'!C58,IF('Tax Table'!D58&gt;J55,(J55-'Tax Table'!C58)*'Tax Table'!F58,('Tax Table'!D58-'Tax Table'!C58)*'Tax Table'!F58),0)</f>
        <v>13974.675000000001</v>
      </c>
    </row>
    <row r="59" spans="1:10" x14ac:dyDescent="0.2">
      <c r="C59" s="43">
        <f t="shared" si="5"/>
        <v>80001</v>
      </c>
      <c r="D59" s="43">
        <f t="shared" si="5"/>
        <v>180000</v>
      </c>
      <c r="E59">
        <f t="shared" si="5"/>
        <v>0</v>
      </c>
      <c r="F59" s="45">
        <f t="shared" si="5"/>
        <v>0.37</v>
      </c>
      <c r="G59" s="43">
        <f>IF(G55&gt;'Tax Table'!C59,IF('Tax Table'!D59&gt;G55,(G55-'Tax Table'!C59)*'Tax Table'!F59,('Tax Table'!D59-'Tax Table'!C59)*'Tax Table'!F59))</f>
        <v>20646.347353632005</v>
      </c>
      <c r="H59" s="43">
        <f>IF(H55&gt;'Tax Table'!C59,IF('Tax Table'!D59&gt;H55,(H55-'Tax Table'!C59)*'Tax Table'!F59,('Tax Table'!D59-'Tax Table'!C59)*'Tax Table'!F59))</f>
        <v>19967.74694346972</v>
      </c>
      <c r="I59" s="43">
        <f>IF(I55&gt;'Tax Table'!C59,IF('Tax Table'!D59&gt;I55,(I55-'Tax Table'!C59)*'Tax Table'!F59,('Tax Table'!D59-'Tax Table'!C59)*'Tax Table'!F59),0)</f>
        <v>9616.5801296640057</v>
      </c>
      <c r="J59" s="43">
        <f>IF(J55&gt;'Tax Table'!C59,IF('Tax Table'!D59&gt;J55,(J55-'Tax Table'!C59)*'Tax Table'!F59,('Tax Table'!D59-'Tax Table'!C59)*'Tax Table'!F59),0)</f>
        <v>8937.9797195017218</v>
      </c>
    </row>
    <row r="60" spans="1:10" x14ac:dyDescent="0.2">
      <c r="C60" s="43">
        <f t="shared" si="5"/>
        <v>180001</v>
      </c>
      <c r="D60" s="43">
        <f t="shared" si="5"/>
        <v>0</v>
      </c>
      <c r="E60">
        <f t="shared" si="5"/>
        <v>0</v>
      </c>
      <c r="F60" s="45">
        <f t="shared" si="5"/>
        <v>0.45</v>
      </c>
      <c r="G60" s="43">
        <f>IF(G55&gt;'Tax Table'!C60,(G55-'Tax Table'!C60)*'Tax Table'!F60,0)</f>
        <v>0</v>
      </c>
      <c r="H60" s="43">
        <f>IF(H55&gt;'Tax Table'!C60,(H55-'Tax Table'!C60)*'Tax Table'!F60,0)</f>
        <v>0</v>
      </c>
      <c r="I60" s="43">
        <f>IF(I55&gt;'Tax Table'!C60,(I55-'Tax Table'!C60)*'Tax Table'!F60,0)</f>
        <v>0</v>
      </c>
      <c r="J60" s="43">
        <f>IF(J55&gt;'Tax Table'!C60,(J55-'Tax Table'!C60)*'Tax Table'!F60,0)</f>
        <v>0</v>
      </c>
    </row>
    <row r="61" spans="1:10" x14ac:dyDescent="0.2">
      <c r="B61" t="str">
        <f>B51</f>
        <v>Medicare Surchage</v>
      </c>
      <c r="C61" s="43">
        <f t="shared" si="5"/>
        <v>50000</v>
      </c>
      <c r="D61" s="43" t="str">
        <f t="shared" si="5"/>
        <v>From</v>
      </c>
      <c r="E61">
        <f t="shared" si="5"/>
        <v>0</v>
      </c>
      <c r="F61" s="45">
        <f t="shared" si="5"/>
        <v>0.01</v>
      </c>
      <c r="G61" s="43">
        <f>IF(H54="Yes",IF(G55&gt;C61,(G55-E61)*'Tax Table'!F61,0),0)</f>
        <v>1358.0193879360002</v>
      </c>
      <c r="H61" s="43">
        <f>IF(H54="Yes",IF(H55&gt;C61,(H55-E61)*'Tax Table'!F61,0),0)</f>
        <v>1339.6788363099924</v>
      </c>
      <c r="I61" s="43">
        <f>IF(H54="Yes",IF(I55&gt;C61,(I55-E61)*'Tax Table'!F61,0),0)</f>
        <v>1059.9175710720001</v>
      </c>
      <c r="J61" s="43">
        <f>IF(H54="Yes",IF(J55&gt;C61,(J55-E61)*'Tax Table'!F61,0),0)</f>
        <v>1041.5770194459924</v>
      </c>
    </row>
    <row r="62" spans="1:10" x14ac:dyDescent="0.2">
      <c r="B62" t="str">
        <f>B52</f>
        <v>Medicare Levy</v>
      </c>
      <c r="C62" s="43">
        <f t="shared" si="5"/>
        <v>16000</v>
      </c>
      <c r="D62" s="43" t="str">
        <f t="shared" si="5"/>
        <v>From</v>
      </c>
      <c r="E62">
        <f t="shared" si="5"/>
        <v>0</v>
      </c>
      <c r="F62" s="45">
        <f t="shared" si="5"/>
        <v>1.4999999999999999E-2</v>
      </c>
      <c r="G62" s="43">
        <f>IF(G55&gt;C62,(G55-E62)*'Tax Table'!F62,0)</f>
        <v>2037.0290819040001</v>
      </c>
      <c r="H62" s="43">
        <f>IF(H55&gt;C62,(H55-E62)*'Tax Table'!F62,0)</f>
        <v>2009.5182544649886</v>
      </c>
      <c r="I62" s="43">
        <f>IF(I55&gt;C62,(I55-E62)*'Tax Table'!F62,0)</f>
        <v>1589.8763566080002</v>
      </c>
      <c r="J62" s="43">
        <f>IF(J55&gt;C62,(J55-E62)*'Tax Table'!F62,0)</f>
        <v>1562.3655291689886</v>
      </c>
    </row>
    <row r="63" spans="1:10" ht="13.5" thickBot="1" x14ac:dyDescent="0.25">
      <c r="G63" s="44">
        <f>SUM(G56:G60)</f>
        <v>38192.832353632009</v>
      </c>
      <c r="H63" s="44">
        <f>SUM(H56:H60)</f>
        <v>37514.23194346972</v>
      </c>
      <c r="I63" s="44">
        <f>SUM(I56:I60)</f>
        <v>27163.065129664006</v>
      </c>
      <c r="J63" s="44">
        <f>SUM(J56:J60)</f>
        <v>26484.464719501724</v>
      </c>
    </row>
    <row r="64" spans="1:10" ht="13.5" thickTop="1" x14ac:dyDescent="0.2">
      <c r="B64">
        <f>B54+1</f>
        <v>7</v>
      </c>
      <c r="G64" s="43" t="s">
        <v>195</v>
      </c>
      <c r="H64" s="43" t="str">
        <f>'Input Property 1'!H57</f>
        <v>Yes</v>
      </c>
    </row>
    <row r="65" spans="2:10" x14ac:dyDescent="0.2">
      <c r="C65" s="43" t="str">
        <f t="shared" ref="C65:F70" si="6">C55</f>
        <v>Lower</v>
      </c>
      <c r="D65" s="43" t="str">
        <f t="shared" si="6"/>
        <v>Upper</v>
      </c>
      <c r="E65" t="str">
        <f t="shared" si="6"/>
        <v>Fixed</v>
      </c>
      <c r="F65" t="str">
        <f t="shared" si="6"/>
        <v>Variable</v>
      </c>
      <c r="G65" s="43">
        <f>'Data Property 1'!I206</f>
        <v>138517.97756947202</v>
      </c>
      <c r="H65" s="43">
        <f>'Data Property 1'!I209</f>
        <v>136966.70249508318</v>
      </c>
      <c r="I65" s="43">
        <f>'Data Property 1'!I215</f>
        <v>108111.59224934402</v>
      </c>
      <c r="J65" s="43">
        <f>'Data Property 1'!I218</f>
        <v>106560.3171749552</v>
      </c>
    </row>
    <row r="66" spans="2:10" x14ac:dyDescent="0.2">
      <c r="C66" s="43">
        <f t="shared" si="6"/>
        <v>0</v>
      </c>
      <c r="D66" s="43">
        <f t="shared" si="6"/>
        <v>18200</v>
      </c>
      <c r="E66">
        <f t="shared" si="6"/>
        <v>0</v>
      </c>
      <c r="F66" s="45">
        <f t="shared" si="6"/>
        <v>0</v>
      </c>
    </row>
    <row r="67" spans="2:10" x14ac:dyDescent="0.2">
      <c r="C67" s="43">
        <f t="shared" si="6"/>
        <v>18201</v>
      </c>
      <c r="D67" s="43">
        <f t="shared" si="6"/>
        <v>37000</v>
      </c>
      <c r="E67">
        <f t="shared" si="6"/>
        <v>0</v>
      </c>
      <c r="F67" s="45">
        <f t="shared" si="6"/>
        <v>0.19</v>
      </c>
      <c r="G67" s="43">
        <f>IF(G65&gt;'Tax Table'!C67,IF('Tax Table'!D67&gt;G65,(G65-'Tax Table'!C67)*'Tax Table'!F67,('Tax Table'!D67-'Tax Table'!C67)*'Tax Table'!F67))</f>
        <v>3571.81</v>
      </c>
      <c r="H67" s="43">
        <f>IF(H65&gt;'Tax Table'!C67,IF('Tax Table'!D67&gt;H65,(H65-'Tax Table'!C67)*'Tax Table'!F67,('Tax Table'!D67-'Tax Table'!C67)*'Tax Table'!F67))</f>
        <v>3571.81</v>
      </c>
      <c r="I67" s="43">
        <f>IF(I65&gt;'Tax Table'!C67,IF('Tax Table'!D67&gt;I65,(I65-'Tax Table'!C67)*'Tax Table'!F67,('Tax Table'!D67-'Tax Table'!C67)*'Tax Table'!F67),0)</f>
        <v>3571.81</v>
      </c>
      <c r="J67" s="43">
        <f>IF(J65&gt;'Tax Table'!C67,IF('Tax Table'!D67&gt;J65,(J65-'Tax Table'!C67)*'Tax Table'!F67,('Tax Table'!D67-'Tax Table'!C67)*'Tax Table'!F67),0)</f>
        <v>3571.81</v>
      </c>
    </row>
    <row r="68" spans="2:10" x14ac:dyDescent="0.2">
      <c r="C68" s="43">
        <f t="shared" si="6"/>
        <v>37001</v>
      </c>
      <c r="D68" s="43">
        <f t="shared" si="6"/>
        <v>80000</v>
      </c>
      <c r="E68">
        <f t="shared" si="6"/>
        <v>0</v>
      </c>
      <c r="F68" s="45">
        <f t="shared" si="6"/>
        <v>0.32500000000000001</v>
      </c>
      <c r="G68" s="43">
        <f>IF(G65&gt;'Tax Table'!C68,IF('Tax Table'!D68&gt;G65,(G65-'Tax Table'!C68)*'Tax Table'!F68,('Tax Table'!D68-'Tax Table'!C68)*'Tax Table'!F68))</f>
        <v>13974.675000000001</v>
      </c>
      <c r="H68" s="43">
        <f>IF(H65&gt;'Tax Table'!C68,IF('Tax Table'!D68&gt;H65,(H65-'Tax Table'!C68)*'Tax Table'!F68,('Tax Table'!D68-'Tax Table'!C68)*'Tax Table'!F68))</f>
        <v>13974.675000000001</v>
      </c>
      <c r="I68" s="43">
        <f>IF(I65&gt;'Tax Table'!C68,IF('Tax Table'!D68&gt;I65,(I65-'Tax Table'!C68)*'Tax Table'!F68,('Tax Table'!D68-'Tax Table'!C68)*'Tax Table'!F68),0)</f>
        <v>13974.675000000001</v>
      </c>
      <c r="J68" s="43">
        <f>IF(J65&gt;'Tax Table'!C68,IF('Tax Table'!D68&gt;J65,(J65-'Tax Table'!C68)*'Tax Table'!F68,('Tax Table'!D68-'Tax Table'!C68)*'Tax Table'!F68),0)</f>
        <v>13974.675000000001</v>
      </c>
    </row>
    <row r="69" spans="2:10" x14ac:dyDescent="0.2">
      <c r="C69" s="43">
        <f t="shared" si="6"/>
        <v>80001</v>
      </c>
      <c r="D69" s="43">
        <f t="shared" si="6"/>
        <v>180000</v>
      </c>
      <c r="E69">
        <f t="shared" si="6"/>
        <v>0</v>
      </c>
      <c r="F69" s="45">
        <f t="shared" si="6"/>
        <v>0.37</v>
      </c>
      <c r="G69" s="43">
        <f>IF(G65&gt;'Tax Table'!C69,IF('Tax Table'!D69&gt;G65,(G65-'Tax Table'!C69)*'Tax Table'!F69,('Tax Table'!D69-'Tax Table'!C69)*'Tax Table'!F69))</f>
        <v>21651.281700704647</v>
      </c>
      <c r="H69" s="43">
        <f>IF(H65&gt;'Tax Table'!C69,IF('Tax Table'!D69&gt;H65,(H65-'Tax Table'!C69)*'Tax Table'!F69,('Tax Table'!D69-'Tax Table'!C69)*'Tax Table'!F69))</f>
        <v>21077.309923180779</v>
      </c>
      <c r="I69" s="43">
        <f>IF(I65&gt;'Tax Table'!C69,IF('Tax Table'!D69&gt;I65,(I65-'Tax Table'!C69)*'Tax Table'!F69,('Tax Table'!D69-'Tax Table'!C69)*'Tax Table'!F69),0)</f>
        <v>10400.919132257286</v>
      </c>
      <c r="J69" s="43">
        <f>IF(J65&gt;'Tax Table'!C69,IF('Tax Table'!D69&gt;J65,(J65-'Tax Table'!C69)*'Tax Table'!F69,('Tax Table'!D69-'Tax Table'!C69)*'Tax Table'!F69),0)</f>
        <v>9826.9473547334237</v>
      </c>
    </row>
    <row r="70" spans="2:10" x14ac:dyDescent="0.2">
      <c r="C70" s="43">
        <f t="shared" si="6"/>
        <v>180001</v>
      </c>
      <c r="D70" s="43">
        <f t="shared" si="6"/>
        <v>0</v>
      </c>
      <c r="E70">
        <f t="shared" si="6"/>
        <v>0</v>
      </c>
      <c r="F70" s="45">
        <f t="shared" si="6"/>
        <v>0.45</v>
      </c>
      <c r="G70" s="43">
        <f>IF(G65&gt;'Tax Table'!C70,(G65-'Tax Table'!C70)*'Tax Table'!F70,0)</f>
        <v>0</v>
      </c>
      <c r="H70" s="43">
        <f>IF(H65&gt;'Tax Table'!C70,(H65-'Tax Table'!C70)*'Tax Table'!F70,0)</f>
        <v>0</v>
      </c>
      <c r="I70" s="43">
        <f>IF(I65&gt;'Tax Table'!C70,(I65-'Tax Table'!C70)*'Tax Table'!F70,0)</f>
        <v>0</v>
      </c>
      <c r="J70" s="43">
        <f>IF(J65&gt;'Tax Table'!C70,(J65-'Tax Table'!C70)*'Tax Table'!F70,0)</f>
        <v>0</v>
      </c>
    </row>
    <row r="71" spans="2:10" x14ac:dyDescent="0.2">
      <c r="B71" t="str">
        <f>B61</f>
        <v>Medicare Surchage</v>
      </c>
      <c r="C71" s="43">
        <f t="shared" ref="C71:F72" si="7">C61</f>
        <v>50000</v>
      </c>
      <c r="D71" s="43" t="str">
        <f t="shared" si="7"/>
        <v>From</v>
      </c>
      <c r="E71">
        <f t="shared" si="7"/>
        <v>0</v>
      </c>
      <c r="F71" s="45">
        <f t="shared" si="7"/>
        <v>0.01</v>
      </c>
      <c r="G71" s="43">
        <f>IF(H64="Yes",IF(G65&gt;C71,(G65-E71)*'Tax Table'!F71,0),0)</f>
        <v>1385.1797756947201</v>
      </c>
      <c r="H71" s="43">
        <f>IF(H64="Yes",IF(H65&gt;C71,(H65-E71)*'Tax Table'!F71,0),0)</f>
        <v>1369.6670249508318</v>
      </c>
      <c r="I71" s="43">
        <f>IF(H64="Yes",IF(I65&gt;C71,(I65-E71)*'Tax Table'!F71,0),0)</f>
        <v>1081.1159224934402</v>
      </c>
      <c r="J71" s="43">
        <f>IF(H64="Yes",IF(J65&gt;C71,(J65-E71)*'Tax Table'!F71,0),0)</f>
        <v>1065.6031717495521</v>
      </c>
    </row>
    <row r="72" spans="2:10" x14ac:dyDescent="0.2">
      <c r="B72" t="str">
        <f>B62</f>
        <v>Medicare Levy</v>
      </c>
      <c r="C72" s="43">
        <f>C62</f>
        <v>16000</v>
      </c>
      <c r="D72" s="43" t="str">
        <f t="shared" si="7"/>
        <v>From</v>
      </c>
      <c r="E72">
        <f t="shared" si="7"/>
        <v>0</v>
      </c>
      <c r="F72" s="45">
        <f t="shared" si="7"/>
        <v>1.4999999999999999E-2</v>
      </c>
      <c r="G72" s="43">
        <f>IF(G65&gt;C72,(G65-E72)*'Tax Table'!F72,0)</f>
        <v>2077.7696635420803</v>
      </c>
      <c r="H72" s="43">
        <f>IF(H65&gt;C72,(H65-E72)*'Tax Table'!F72,0)</f>
        <v>2054.5005374262478</v>
      </c>
      <c r="I72" s="43">
        <f>IF(I65&gt;C72,(I65-E72)*'Tax Table'!F72,0)</f>
        <v>1621.6738837401601</v>
      </c>
      <c r="J72" s="43">
        <f>IF(J65&gt;C72,(J65-E72)*'Tax Table'!F72,0)</f>
        <v>1598.4047576243279</v>
      </c>
    </row>
    <row r="73" spans="2:10" ht="13.5" thickBot="1" x14ac:dyDescent="0.25">
      <c r="G73" s="44">
        <f>SUM(G66:G70)</f>
        <v>39197.766700704648</v>
      </c>
      <c r="H73" s="44">
        <f>SUM(H66:H70)</f>
        <v>38623.79492318078</v>
      </c>
      <c r="I73" s="44">
        <f>SUM(I66:I70)</f>
        <v>27947.404132257288</v>
      </c>
      <c r="J73" s="44">
        <f>SUM(J66:J70)</f>
        <v>27373.432354733424</v>
      </c>
    </row>
    <row r="74" spans="2:10" ht="13.5" thickTop="1" x14ac:dyDescent="0.2">
      <c r="B74">
        <f>B64+1</f>
        <v>8</v>
      </c>
      <c r="G74" s="43" t="s">
        <v>196</v>
      </c>
      <c r="H74" s="43" t="str">
        <f>'Input Property 1'!I57</f>
        <v>Yes</v>
      </c>
    </row>
    <row r="75" spans="2:10" x14ac:dyDescent="0.2">
      <c r="C75" s="43" t="str">
        <f t="shared" ref="C75:F82" si="8">C65</f>
        <v>Lower</v>
      </c>
      <c r="D75" s="43" t="str">
        <f t="shared" si="8"/>
        <v>Upper</v>
      </c>
      <c r="E75" t="str">
        <f t="shared" si="8"/>
        <v>Fixed</v>
      </c>
      <c r="F75" t="str">
        <f t="shared" si="8"/>
        <v>Variable</v>
      </c>
      <c r="G75" s="43">
        <f>'Data Property 1'!J206</f>
        <v>141288.33712086146</v>
      </c>
      <c r="H75" s="43">
        <f>'Data Property 1'!J209</f>
        <v>140025.51092731656</v>
      </c>
      <c r="I75" s="43">
        <f>'Data Property 1'!J215</f>
        <v>110273.82409433089</v>
      </c>
      <c r="J75" s="43">
        <f>'Data Property 1'!J218</f>
        <v>109010.99790078599</v>
      </c>
    </row>
    <row r="76" spans="2:10" x14ac:dyDescent="0.2">
      <c r="C76" s="43">
        <f t="shared" si="8"/>
        <v>0</v>
      </c>
      <c r="D76" s="43">
        <f t="shared" si="8"/>
        <v>18200</v>
      </c>
      <c r="E76">
        <f t="shared" si="8"/>
        <v>0</v>
      </c>
      <c r="F76" s="45">
        <f t="shared" si="8"/>
        <v>0</v>
      </c>
    </row>
    <row r="77" spans="2:10" x14ac:dyDescent="0.2">
      <c r="C77" s="43">
        <f t="shared" si="8"/>
        <v>18201</v>
      </c>
      <c r="D77" s="43">
        <f t="shared" si="8"/>
        <v>37000</v>
      </c>
      <c r="E77">
        <f t="shared" si="8"/>
        <v>0</v>
      </c>
      <c r="F77" s="45">
        <f t="shared" si="8"/>
        <v>0.19</v>
      </c>
      <c r="G77" s="43">
        <f>IF(G75&gt;'Tax Table'!C77,IF('Tax Table'!D77&gt;G75,(G75-'Tax Table'!C77)*'Tax Table'!F77,('Tax Table'!D77-'Tax Table'!C77)*'Tax Table'!F77))</f>
        <v>3571.81</v>
      </c>
      <c r="H77" s="43">
        <f>IF(H75&gt;'Tax Table'!C77,IF('Tax Table'!D77&gt;H75,(H75-'Tax Table'!C77)*'Tax Table'!F77,('Tax Table'!D77-'Tax Table'!C77)*'Tax Table'!F77))</f>
        <v>3571.81</v>
      </c>
      <c r="I77" s="43">
        <f>IF(I75&gt;'Tax Table'!C77,IF('Tax Table'!D77&gt;I75,(I75-'Tax Table'!C77)*'Tax Table'!F77,('Tax Table'!D77-'Tax Table'!C77)*'Tax Table'!F77),0)</f>
        <v>3571.81</v>
      </c>
      <c r="J77" s="43">
        <f>IF(J75&gt;'Tax Table'!C77,IF('Tax Table'!D77&gt;J75,(J75-'Tax Table'!C77)*'Tax Table'!F77,('Tax Table'!D77-'Tax Table'!C77)*'Tax Table'!F77),0)</f>
        <v>3571.81</v>
      </c>
    </row>
    <row r="78" spans="2:10" x14ac:dyDescent="0.2">
      <c r="C78" s="43">
        <f t="shared" si="8"/>
        <v>37001</v>
      </c>
      <c r="D78" s="43">
        <f t="shared" si="8"/>
        <v>80000</v>
      </c>
      <c r="E78">
        <f t="shared" si="8"/>
        <v>0</v>
      </c>
      <c r="F78" s="45">
        <f t="shared" si="8"/>
        <v>0.32500000000000001</v>
      </c>
      <c r="G78" s="43">
        <f>IF(G75&gt;'Tax Table'!C78,IF('Tax Table'!D78&gt;G75,(G75-'Tax Table'!C78)*'Tax Table'!F78,('Tax Table'!D78-'Tax Table'!C78)*'Tax Table'!F78))</f>
        <v>13974.675000000001</v>
      </c>
      <c r="H78" s="43">
        <f>IF(H75&gt;'Tax Table'!C78,IF('Tax Table'!D78&gt;H75,(H75-'Tax Table'!C78)*'Tax Table'!F78,('Tax Table'!D78-'Tax Table'!C78)*'Tax Table'!F78))</f>
        <v>13974.675000000001</v>
      </c>
      <c r="I78" s="43">
        <f>IF(I75&gt;'Tax Table'!C78,IF('Tax Table'!D78&gt;I75,(I75-'Tax Table'!C78)*'Tax Table'!F78,('Tax Table'!D78-'Tax Table'!C78)*'Tax Table'!F78),0)</f>
        <v>13974.675000000001</v>
      </c>
      <c r="J78" s="43">
        <f>IF(J75&gt;'Tax Table'!C78,IF('Tax Table'!D78&gt;J75,(J75-'Tax Table'!C78)*'Tax Table'!F78,('Tax Table'!D78-'Tax Table'!C78)*'Tax Table'!F78),0)</f>
        <v>13974.675000000001</v>
      </c>
    </row>
    <row r="79" spans="2:10" x14ac:dyDescent="0.2">
      <c r="C79" s="43">
        <f t="shared" si="8"/>
        <v>80001</v>
      </c>
      <c r="D79" s="43">
        <f t="shared" si="8"/>
        <v>180000</v>
      </c>
      <c r="E79">
        <f t="shared" si="8"/>
        <v>0</v>
      </c>
      <c r="F79" s="45">
        <f t="shared" si="8"/>
        <v>0.37</v>
      </c>
      <c r="G79" s="43">
        <f>IF(G75&gt;'Tax Table'!C79,IF('Tax Table'!D79&gt;G75,(G75-'Tax Table'!C79)*'Tax Table'!F79,('Tax Table'!D79-'Tax Table'!C79)*'Tax Table'!F79))</f>
        <v>22676.314734718737</v>
      </c>
      <c r="H79" s="43">
        <f>IF(H75&gt;'Tax Table'!C79,IF('Tax Table'!D79&gt;H75,(H75-'Tax Table'!C79)*'Tax Table'!F79,('Tax Table'!D79-'Tax Table'!C79)*'Tax Table'!F79))</f>
        <v>22209.069043107127</v>
      </c>
      <c r="I79" s="43">
        <f>IF(I75&gt;'Tax Table'!C79,IF('Tax Table'!D79&gt;I75,(I75-'Tax Table'!C79)*'Tax Table'!F79,('Tax Table'!D79-'Tax Table'!C79)*'Tax Table'!F79),0)</f>
        <v>11200.944914902429</v>
      </c>
      <c r="J79" s="43">
        <f>IF(J75&gt;'Tax Table'!C79,IF('Tax Table'!D79&gt;J75,(J75-'Tax Table'!C79)*'Tax Table'!F79,('Tax Table'!D79-'Tax Table'!C79)*'Tax Table'!F79),0)</f>
        <v>10733.699223290818</v>
      </c>
    </row>
    <row r="80" spans="2:10" x14ac:dyDescent="0.2">
      <c r="C80" s="43">
        <f t="shared" si="8"/>
        <v>180001</v>
      </c>
      <c r="D80" s="43">
        <f t="shared" si="8"/>
        <v>0</v>
      </c>
      <c r="E80">
        <f t="shared" si="8"/>
        <v>0</v>
      </c>
      <c r="F80" s="45">
        <f t="shared" si="8"/>
        <v>0.45</v>
      </c>
      <c r="G80" s="43">
        <f>IF(G75&gt;'Tax Table'!C80,(G75-'Tax Table'!C80)*'Tax Table'!F80,0)</f>
        <v>0</v>
      </c>
      <c r="H80" s="43">
        <f>IF(H75&gt;'Tax Table'!C80,(H75-'Tax Table'!C80)*'Tax Table'!F80,0)</f>
        <v>0</v>
      </c>
      <c r="I80" s="43">
        <f>IF(I75&gt;'Tax Table'!C80,(I75-'Tax Table'!C80)*'Tax Table'!F80,0)</f>
        <v>0</v>
      </c>
      <c r="J80" s="43">
        <f>IF(J75&gt;'Tax Table'!C80,(J75-'Tax Table'!C80)*'Tax Table'!F80,0)</f>
        <v>0</v>
      </c>
    </row>
    <row r="81" spans="2:10" x14ac:dyDescent="0.2">
      <c r="B81" t="str">
        <f>B71</f>
        <v>Medicare Surchage</v>
      </c>
      <c r="C81" s="43">
        <f t="shared" si="8"/>
        <v>50000</v>
      </c>
      <c r="D81" s="43" t="str">
        <f t="shared" si="8"/>
        <v>From</v>
      </c>
      <c r="E81">
        <f t="shared" si="8"/>
        <v>0</v>
      </c>
      <c r="F81" s="45">
        <f t="shared" si="8"/>
        <v>0.01</v>
      </c>
      <c r="G81" s="43">
        <f>IF(H74="Yes",IF(G75&gt;C81,(G75-E81)*'Tax Table'!F81,0),0)</f>
        <v>1412.8833712086146</v>
      </c>
      <c r="H81" s="43">
        <f>IF(H74="Yes",IF(H75&gt;C81,(H75-E81)*'Tax Table'!F81,0),0)</f>
        <v>1400.2551092731655</v>
      </c>
      <c r="I81" s="43">
        <f>IF(H74="Yes",IF(I75&gt;C81,(I75-E81)*'Tax Table'!F81,0),0)</f>
        <v>1102.7382409433089</v>
      </c>
      <c r="J81" s="43">
        <f>IF(H74="Yes",IF(J75&gt;C81,(J75-E81)*'Tax Table'!F81,0),0)</f>
        <v>1090.1099790078599</v>
      </c>
    </row>
    <row r="82" spans="2:10" x14ac:dyDescent="0.2">
      <c r="B82" t="str">
        <f>B72</f>
        <v>Medicare Levy</v>
      </c>
      <c r="C82" s="43">
        <f t="shared" si="8"/>
        <v>16000</v>
      </c>
      <c r="D82" s="43" t="str">
        <f t="shared" si="8"/>
        <v>From</v>
      </c>
      <c r="E82">
        <f t="shared" si="8"/>
        <v>0</v>
      </c>
      <c r="F82" s="45">
        <f t="shared" si="8"/>
        <v>1.4999999999999999E-2</v>
      </c>
      <c r="G82" s="43">
        <f>IF(G75&gt;C82,(G75-E82)*'Tax Table'!F82,0)</f>
        <v>2119.325056812922</v>
      </c>
      <c r="H82" s="43">
        <f>IF(H75&gt;C82,(H75-E82)*'Tax Table'!F82,0)</f>
        <v>2100.3826639097483</v>
      </c>
      <c r="I82" s="43">
        <f>IF(I75&gt;C82,(I75-E82)*'Tax Table'!F82,0)</f>
        <v>1654.1073614149634</v>
      </c>
      <c r="J82" s="43">
        <f>IF(J75&gt;C82,(J75-E82)*'Tax Table'!F82,0)</f>
        <v>1635.1649685117898</v>
      </c>
    </row>
    <row r="83" spans="2:10" ht="13.5" thickBot="1" x14ac:dyDescent="0.25">
      <c r="G83" s="44">
        <f>SUM(G76:G80)</f>
        <v>40222.799734718734</v>
      </c>
      <c r="H83" s="44">
        <f>SUM(H76:H80)</f>
        <v>39755.554043107128</v>
      </c>
      <c r="I83" s="44">
        <f>SUM(I76:I80)</f>
        <v>28747.42991490243</v>
      </c>
      <c r="J83" s="44">
        <f>SUM(J76:J80)</f>
        <v>28280.184223290817</v>
      </c>
    </row>
    <row r="84" spans="2:10" ht="13.5" thickTop="1" x14ac:dyDescent="0.2">
      <c r="B84">
        <f>B74+1</f>
        <v>9</v>
      </c>
      <c r="G84" s="43" t="s">
        <v>197</v>
      </c>
      <c r="H84" s="43" t="str">
        <f>'Input Property 1'!J57</f>
        <v>Yes</v>
      </c>
    </row>
    <row r="85" spans="2:10" x14ac:dyDescent="0.2">
      <c r="C85" s="43" t="str">
        <f t="shared" ref="C85:F92" si="9">C75</f>
        <v>Lower</v>
      </c>
      <c r="D85" s="43" t="str">
        <f t="shared" si="9"/>
        <v>Upper</v>
      </c>
      <c r="E85" t="str">
        <f t="shared" si="9"/>
        <v>Fixed</v>
      </c>
      <c r="F85" t="str">
        <f t="shared" si="9"/>
        <v>Variable</v>
      </c>
      <c r="G85" s="43">
        <f>'Data Property 1'!K206</f>
        <v>144114.10386327869</v>
      </c>
      <c r="H85" s="43">
        <f>'Data Property 1'!K209</f>
        <v>143141.5741429622</v>
      </c>
      <c r="I85" s="43">
        <f>'Data Property 1'!K215</f>
        <v>112479.30057621752</v>
      </c>
      <c r="J85" s="43">
        <f>'Data Property 1'!K218</f>
        <v>111506.77085590101</v>
      </c>
    </row>
    <row r="86" spans="2:10" x14ac:dyDescent="0.2">
      <c r="C86" s="43">
        <f t="shared" si="9"/>
        <v>0</v>
      </c>
      <c r="D86" s="43">
        <f t="shared" si="9"/>
        <v>18200</v>
      </c>
      <c r="E86">
        <f t="shared" si="9"/>
        <v>0</v>
      </c>
      <c r="F86" s="45">
        <f t="shared" si="9"/>
        <v>0</v>
      </c>
    </row>
    <row r="87" spans="2:10" x14ac:dyDescent="0.2">
      <c r="C87" s="43">
        <f t="shared" si="9"/>
        <v>18201</v>
      </c>
      <c r="D87" s="43">
        <f t="shared" si="9"/>
        <v>37000</v>
      </c>
      <c r="E87">
        <f t="shared" si="9"/>
        <v>0</v>
      </c>
      <c r="F87" s="45">
        <f t="shared" si="9"/>
        <v>0.19</v>
      </c>
      <c r="G87" s="43">
        <f>IF(G85&gt;'Tax Table'!C87,IF('Tax Table'!D87&gt;G85,(G85-'Tax Table'!C87)*'Tax Table'!F87,('Tax Table'!D87-'Tax Table'!C87)*'Tax Table'!F87))</f>
        <v>3571.81</v>
      </c>
      <c r="H87" s="43">
        <f>IF(H85&gt;'Tax Table'!C87,IF('Tax Table'!D87&gt;H85,(H85-'Tax Table'!C87)*'Tax Table'!F87,('Tax Table'!D87-'Tax Table'!C87)*'Tax Table'!F87))</f>
        <v>3571.81</v>
      </c>
      <c r="I87" s="43">
        <f>IF(I85&gt;'Tax Table'!C87,IF('Tax Table'!D87&gt;I85,(I85-'Tax Table'!C87)*'Tax Table'!F87,('Tax Table'!D87-'Tax Table'!C87)*'Tax Table'!F87),0)</f>
        <v>3571.81</v>
      </c>
      <c r="J87" s="43">
        <f>IF(J85&gt;'Tax Table'!C87,IF('Tax Table'!D87&gt;J85,(J85-'Tax Table'!C87)*'Tax Table'!F87,('Tax Table'!D87-'Tax Table'!C87)*'Tax Table'!F87),0)</f>
        <v>3571.81</v>
      </c>
    </row>
    <row r="88" spans="2:10" x14ac:dyDescent="0.2">
      <c r="C88" s="43">
        <f t="shared" si="9"/>
        <v>37001</v>
      </c>
      <c r="D88" s="43">
        <f t="shared" si="9"/>
        <v>80000</v>
      </c>
      <c r="E88">
        <f t="shared" si="9"/>
        <v>0</v>
      </c>
      <c r="F88" s="45">
        <f t="shared" si="9"/>
        <v>0.32500000000000001</v>
      </c>
      <c r="G88" s="43">
        <f>IF(G85&gt;'Tax Table'!C88,IF('Tax Table'!D88&gt;G85,(G85-'Tax Table'!C88)*'Tax Table'!F88,('Tax Table'!D88-'Tax Table'!C88)*'Tax Table'!F88))</f>
        <v>13974.675000000001</v>
      </c>
      <c r="H88" s="43">
        <f>IF(H85&gt;'Tax Table'!C88,IF('Tax Table'!D88&gt;H85,(H85-'Tax Table'!C88)*'Tax Table'!F88,('Tax Table'!D88-'Tax Table'!C88)*'Tax Table'!F88))</f>
        <v>13974.675000000001</v>
      </c>
      <c r="I88" s="43">
        <f>IF(I85&gt;'Tax Table'!C88,IF('Tax Table'!D88&gt;I85,(I85-'Tax Table'!C88)*'Tax Table'!F88,('Tax Table'!D88-'Tax Table'!C88)*'Tax Table'!F88),0)</f>
        <v>13974.675000000001</v>
      </c>
      <c r="J88" s="43">
        <f>IF(J85&gt;'Tax Table'!C88,IF('Tax Table'!D88&gt;J85,(J85-'Tax Table'!C88)*'Tax Table'!F88,('Tax Table'!D88-'Tax Table'!C88)*'Tax Table'!F88),0)</f>
        <v>13974.675000000001</v>
      </c>
    </row>
    <row r="89" spans="2:10" x14ac:dyDescent="0.2">
      <c r="C89" s="43">
        <f t="shared" si="9"/>
        <v>80001</v>
      </c>
      <c r="D89" s="43">
        <f t="shared" si="9"/>
        <v>180000</v>
      </c>
      <c r="E89">
        <f t="shared" si="9"/>
        <v>0</v>
      </c>
      <c r="F89" s="45">
        <f t="shared" si="9"/>
        <v>0.37</v>
      </c>
      <c r="G89" s="43">
        <f>IF(G85&gt;'Tax Table'!C89,IF('Tax Table'!D89&gt;G85,(G85-'Tax Table'!C89)*'Tax Table'!F89,('Tax Table'!D89-'Tax Table'!C89)*'Tax Table'!F89))</f>
        <v>23721.848429413116</v>
      </c>
      <c r="H89" s="43">
        <f>IF(H85&gt;'Tax Table'!C89,IF('Tax Table'!D89&gt;H85,(H85-'Tax Table'!C89)*'Tax Table'!F89,('Tax Table'!D89-'Tax Table'!C89)*'Tax Table'!F89))</f>
        <v>23362.012432896012</v>
      </c>
      <c r="I89" s="43">
        <f>IF(I85&gt;'Tax Table'!C89,IF('Tax Table'!D89&gt;I85,(I85-'Tax Table'!C89)*'Tax Table'!F89,('Tax Table'!D89-'Tax Table'!C89)*'Tax Table'!F89),0)</f>
        <v>12016.971213200481</v>
      </c>
      <c r="J89" s="43">
        <f>IF(J85&gt;'Tax Table'!C89,IF('Tax Table'!D89&gt;J85,(J85-'Tax Table'!C89)*'Tax Table'!F89,('Tax Table'!D89-'Tax Table'!C89)*'Tax Table'!F89),0)</f>
        <v>11657.135216683371</v>
      </c>
    </row>
    <row r="90" spans="2:10" x14ac:dyDescent="0.2">
      <c r="C90" s="43">
        <f t="shared" si="9"/>
        <v>180001</v>
      </c>
      <c r="D90" s="43">
        <f t="shared" si="9"/>
        <v>0</v>
      </c>
      <c r="E90">
        <f t="shared" si="9"/>
        <v>0</v>
      </c>
      <c r="F90" s="45">
        <f t="shared" si="9"/>
        <v>0.45</v>
      </c>
      <c r="G90" s="43">
        <f>IF(G85&gt;'Tax Table'!C90,(G85-'Tax Table'!C90)*'Tax Table'!F90,0)</f>
        <v>0</v>
      </c>
      <c r="H90" s="43">
        <f>IF(H85&gt;'Tax Table'!C90,(H85-'Tax Table'!C90)*'Tax Table'!F90,0)</f>
        <v>0</v>
      </c>
      <c r="I90" s="43">
        <f>IF(I85&gt;'Tax Table'!C90,(I85-'Tax Table'!C90)*'Tax Table'!F90,0)</f>
        <v>0</v>
      </c>
      <c r="J90" s="43">
        <f>IF(J85&gt;'Tax Table'!C90,(J85-'Tax Table'!C90)*'Tax Table'!F90,0)</f>
        <v>0</v>
      </c>
    </row>
    <row r="91" spans="2:10" x14ac:dyDescent="0.2">
      <c r="B91" t="str">
        <f>B81</f>
        <v>Medicare Surchage</v>
      </c>
      <c r="C91" s="43">
        <f t="shared" si="9"/>
        <v>50000</v>
      </c>
      <c r="D91" s="43" t="str">
        <f t="shared" si="9"/>
        <v>From</v>
      </c>
      <c r="E91">
        <f t="shared" si="9"/>
        <v>0</v>
      </c>
      <c r="F91" s="45">
        <f t="shared" si="9"/>
        <v>0.01</v>
      </c>
      <c r="G91" s="43">
        <f>IF(H84="Yes",IF(G85&gt;C91,(G85-E91)*'Tax Table'!F91,0),0)</f>
        <v>1441.1410386327871</v>
      </c>
      <c r="H91" s="43">
        <f>IF(H84="Yes",IF(H85&gt;C91,(H85-E91)*'Tax Table'!F91,0),0)</f>
        <v>1431.4157414296221</v>
      </c>
      <c r="I91" s="43">
        <f>IF(H84="Yes",IF(I85&gt;C91,(I85-E91)*'Tax Table'!F91,0),0)</f>
        <v>1124.7930057621752</v>
      </c>
      <c r="J91" s="43">
        <f>IF(H84="Yes",IF(J85&gt;C91,(J85-E91)*'Tax Table'!F91,0),0)</f>
        <v>1115.06770855901</v>
      </c>
    </row>
    <row r="92" spans="2:10" x14ac:dyDescent="0.2">
      <c r="B92" t="str">
        <f>B82</f>
        <v>Medicare Levy</v>
      </c>
      <c r="C92" s="43">
        <f t="shared" si="9"/>
        <v>16000</v>
      </c>
      <c r="D92" s="43" t="str">
        <f t="shared" si="9"/>
        <v>From</v>
      </c>
      <c r="E92">
        <f t="shared" si="9"/>
        <v>0</v>
      </c>
      <c r="F92" s="45">
        <f t="shared" si="9"/>
        <v>1.4999999999999999E-2</v>
      </c>
      <c r="G92" s="43">
        <f>IF(G85&gt;C92,(G85-E92)*'Tax Table'!F92,0)</f>
        <v>2161.7115579491801</v>
      </c>
      <c r="H92" s="43">
        <f>IF(H85&gt;C92,(H85-E92)*'Tax Table'!F92,0)</f>
        <v>2147.1236121444331</v>
      </c>
      <c r="I92" s="43">
        <f>IF(I85&gt;C92,(I85-E92)*'Tax Table'!F92,0)</f>
        <v>1687.1895086432626</v>
      </c>
      <c r="J92" s="43">
        <f>IF(J85&gt;C92,(J85-E92)*'Tax Table'!F92,0)</f>
        <v>1672.6015628385151</v>
      </c>
    </row>
    <row r="93" spans="2:10" ht="13.5" thickBot="1" x14ac:dyDescent="0.25">
      <c r="G93" s="44">
        <f>SUM(G86:G90)</f>
        <v>41268.33342941312</v>
      </c>
      <c r="H93" s="44">
        <f>SUM(H86:H90)</f>
        <v>40908.497432896009</v>
      </c>
      <c r="I93" s="44">
        <f>SUM(I86:I90)</f>
        <v>29563.456213200479</v>
      </c>
      <c r="J93" s="44">
        <f>SUM(J86:J90)</f>
        <v>29203.620216683372</v>
      </c>
    </row>
    <row r="94" spans="2:10" ht="13.5" thickTop="1" x14ac:dyDescent="0.2">
      <c r="B94">
        <f>B84+1</f>
        <v>10</v>
      </c>
      <c r="G94" s="43" t="s">
        <v>198</v>
      </c>
      <c r="H94" s="43" t="str">
        <f>'Input Property 1'!K57</f>
        <v>Yes</v>
      </c>
    </row>
    <row r="95" spans="2:10" x14ac:dyDescent="0.2">
      <c r="C95" s="43" t="str">
        <f t="shared" ref="C95:F102" si="10">C85</f>
        <v>Lower</v>
      </c>
      <c r="D95" s="43" t="str">
        <f t="shared" si="10"/>
        <v>Upper</v>
      </c>
      <c r="E95" t="str">
        <f t="shared" si="10"/>
        <v>Fixed</v>
      </c>
      <c r="F95" t="str">
        <f t="shared" si="10"/>
        <v>Variable</v>
      </c>
      <c r="G95" s="43">
        <f>'Data Property 1'!L206</f>
        <v>146996.38594054428</v>
      </c>
      <c r="H95" s="43">
        <f>'Data Property 1'!L209</f>
        <v>146330.15190419287</v>
      </c>
      <c r="I95" s="43">
        <f>'Data Property 1'!L215</f>
        <v>114728.88658774187</v>
      </c>
      <c r="J95" s="43">
        <f>'Data Property 1'!L218</f>
        <v>114062.65255139048</v>
      </c>
    </row>
    <row r="96" spans="2:10" x14ac:dyDescent="0.2">
      <c r="C96" s="43">
        <f t="shared" si="10"/>
        <v>0</v>
      </c>
      <c r="D96" s="43">
        <f t="shared" si="10"/>
        <v>18200</v>
      </c>
      <c r="E96">
        <f t="shared" si="10"/>
        <v>0</v>
      </c>
      <c r="F96" s="45">
        <f t="shared" si="10"/>
        <v>0</v>
      </c>
    </row>
    <row r="97" spans="2:10" x14ac:dyDescent="0.2">
      <c r="C97" s="43">
        <f t="shared" si="10"/>
        <v>18201</v>
      </c>
      <c r="D97" s="43">
        <f t="shared" si="10"/>
        <v>37000</v>
      </c>
      <c r="E97">
        <f t="shared" si="10"/>
        <v>0</v>
      </c>
      <c r="F97" s="45">
        <f t="shared" si="10"/>
        <v>0.19</v>
      </c>
      <c r="G97" s="43">
        <f>IF(G95&gt;'Tax Table'!C97,IF('Tax Table'!D97&gt;G95,(G95-'Tax Table'!C97)*'Tax Table'!F97,('Tax Table'!D97-'Tax Table'!C97)*'Tax Table'!F97))</f>
        <v>3571.81</v>
      </c>
      <c r="H97" s="43">
        <f>IF(H95&gt;'Tax Table'!C97,IF('Tax Table'!D97&gt;H95,(H95-'Tax Table'!C97)*'Tax Table'!F97,('Tax Table'!D97-'Tax Table'!C97)*'Tax Table'!F97))</f>
        <v>3571.81</v>
      </c>
      <c r="I97" s="43">
        <f>IF(I95&gt;'Tax Table'!C97,IF('Tax Table'!D97&gt;I95,(I95-'Tax Table'!C97)*'Tax Table'!F97,('Tax Table'!D97-'Tax Table'!C97)*'Tax Table'!F97),0)</f>
        <v>3571.81</v>
      </c>
      <c r="J97" s="43">
        <f>IF(J95&gt;'Tax Table'!C97,IF('Tax Table'!D97&gt;J95,(J95-'Tax Table'!C97)*'Tax Table'!F97,('Tax Table'!D97-'Tax Table'!C97)*'Tax Table'!F97),0)</f>
        <v>3571.81</v>
      </c>
    </row>
    <row r="98" spans="2:10" x14ac:dyDescent="0.2">
      <c r="C98" s="43">
        <f t="shared" si="10"/>
        <v>37001</v>
      </c>
      <c r="D98" s="43">
        <f t="shared" si="10"/>
        <v>80000</v>
      </c>
      <c r="E98">
        <f t="shared" si="10"/>
        <v>0</v>
      </c>
      <c r="F98" s="45">
        <f t="shared" si="10"/>
        <v>0.32500000000000001</v>
      </c>
      <c r="G98" s="43">
        <f>IF(G95&gt;'Tax Table'!C98,IF('Tax Table'!D98&gt;G95,(G95-'Tax Table'!C98)*'Tax Table'!F98,('Tax Table'!D98-'Tax Table'!C98)*'Tax Table'!F98))</f>
        <v>13974.675000000001</v>
      </c>
      <c r="H98" s="43">
        <f>IF(H95&gt;'Tax Table'!C98,IF('Tax Table'!D98&gt;H95,(H95-'Tax Table'!C98)*'Tax Table'!F98,('Tax Table'!D98-'Tax Table'!C98)*'Tax Table'!F98))</f>
        <v>13974.675000000001</v>
      </c>
      <c r="I98" s="43">
        <f>IF(I95&gt;'Tax Table'!C98,IF('Tax Table'!D98&gt;I95,(I95-'Tax Table'!C98)*'Tax Table'!F98,('Tax Table'!D98-'Tax Table'!C98)*'Tax Table'!F98),0)</f>
        <v>13974.675000000001</v>
      </c>
      <c r="J98" s="43">
        <f>IF(J95&gt;'Tax Table'!C98,IF('Tax Table'!D98&gt;J95,(J95-'Tax Table'!C98)*'Tax Table'!F98,('Tax Table'!D98-'Tax Table'!C98)*'Tax Table'!F98),0)</f>
        <v>13974.675000000001</v>
      </c>
    </row>
    <row r="99" spans="2:10" x14ac:dyDescent="0.2">
      <c r="C99" s="43">
        <f t="shared" si="10"/>
        <v>80001</v>
      </c>
      <c r="D99" s="43">
        <f t="shared" si="10"/>
        <v>180000</v>
      </c>
      <c r="E99">
        <f t="shared" si="10"/>
        <v>0</v>
      </c>
      <c r="F99" s="45">
        <f t="shared" si="10"/>
        <v>0.37</v>
      </c>
      <c r="G99" s="43">
        <f>IF(G95&gt;'Tax Table'!C99,IF('Tax Table'!D99&gt;G95,(G95-'Tax Table'!C99)*'Tax Table'!F99,('Tax Table'!D99-'Tax Table'!C99)*'Tax Table'!F99))</f>
        <v>24788.292798001381</v>
      </c>
      <c r="H99" s="43">
        <f>IF(H95&gt;'Tax Table'!C99,IF('Tax Table'!D99&gt;H95,(H95-'Tax Table'!C99)*'Tax Table'!F99,('Tax Table'!D99-'Tax Table'!C99)*'Tax Table'!F99))</f>
        <v>24541.786204551361</v>
      </c>
      <c r="I99" s="43">
        <f>IF(I95&gt;'Tax Table'!C99,IF('Tax Table'!D99&gt;I95,(I95-'Tax Table'!C99)*'Tax Table'!F99,('Tax Table'!D99-'Tax Table'!C99)*'Tax Table'!F99),0)</f>
        <v>12849.318037464493</v>
      </c>
      <c r="J99" s="43">
        <f>IF(J95&gt;'Tax Table'!C99,IF('Tax Table'!D99&gt;J95,(J95-'Tax Table'!C99)*'Tax Table'!F99,('Tax Table'!D99-'Tax Table'!C99)*'Tax Table'!F99),0)</f>
        <v>12602.811444014476</v>
      </c>
    </row>
    <row r="100" spans="2:10" x14ac:dyDescent="0.2">
      <c r="C100" s="43">
        <f t="shared" si="10"/>
        <v>180001</v>
      </c>
      <c r="D100" s="43">
        <f t="shared" si="10"/>
        <v>0</v>
      </c>
      <c r="E100">
        <f t="shared" si="10"/>
        <v>0</v>
      </c>
      <c r="F100" s="45">
        <f t="shared" si="10"/>
        <v>0.45</v>
      </c>
      <c r="G100" s="43">
        <f>IF(G95&gt;'Tax Table'!C100,(G95-'Tax Table'!C100)*'Tax Table'!F100,0)</f>
        <v>0</v>
      </c>
      <c r="H100" s="43">
        <f>IF(H95&gt;'Tax Table'!C100,(H95-'Tax Table'!C100)*'Tax Table'!F100,0)</f>
        <v>0</v>
      </c>
      <c r="I100" s="43">
        <f>IF(I95&gt;'Tax Table'!C100,(I95-'Tax Table'!C100)*'Tax Table'!F100,0)</f>
        <v>0</v>
      </c>
      <c r="J100" s="43">
        <f>IF(J95&gt;'Tax Table'!C100,(J95-'Tax Table'!C100)*'Tax Table'!F100,0)</f>
        <v>0</v>
      </c>
    </row>
    <row r="101" spans="2:10" x14ac:dyDescent="0.2">
      <c r="B101" t="str">
        <f>B91</f>
        <v>Medicare Surchage</v>
      </c>
      <c r="C101" s="43">
        <f t="shared" si="10"/>
        <v>50000</v>
      </c>
      <c r="D101" s="43" t="str">
        <f t="shared" si="10"/>
        <v>From</v>
      </c>
      <c r="E101">
        <f t="shared" si="10"/>
        <v>0</v>
      </c>
      <c r="F101" s="45">
        <f t="shared" si="10"/>
        <v>0.01</v>
      </c>
      <c r="G101" s="43">
        <f>IF(H94="Yes",IF(G95&gt;C101,(G95-E101)*'Tax Table'!F101,0),0)</f>
        <v>1469.9638594054429</v>
      </c>
      <c r="H101" s="43">
        <f>IF(H94="Yes",IF(H95&gt;C101,(H95-E101)*'Tax Table'!F101,0),0)</f>
        <v>1463.3015190419287</v>
      </c>
      <c r="I101" s="43">
        <f>IF(H94="Yes",IF(I95&gt;C101,(I95-E101)*'Tax Table'!F101,0),0)</f>
        <v>1147.2888658774189</v>
      </c>
      <c r="J101" s="43">
        <f>IF(H94="Yes",IF(J95&gt;C101,(J95-E101)*'Tax Table'!F101,0),0)</f>
        <v>1140.6265255139049</v>
      </c>
    </row>
    <row r="102" spans="2:10" x14ac:dyDescent="0.2">
      <c r="B102" t="str">
        <f>B92</f>
        <v>Medicare Levy</v>
      </c>
      <c r="C102" s="43">
        <f t="shared" si="10"/>
        <v>16000</v>
      </c>
      <c r="D102" s="43" t="str">
        <f t="shared" si="10"/>
        <v>From</v>
      </c>
      <c r="E102">
        <f t="shared" si="10"/>
        <v>0</v>
      </c>
      <c r="F102" s="45">
        <f t="shared" si="10"/>
        <v>1.4999999999999999E-2</v>
      </c>
      <c r="G102" s="43">
        <f>IF(G95&gt;C102,(G95-E102)*'Tax Table'!F102,0)</f>
        <v>2204.9457891081643</v>
      </c>
      <c r="H102" s="43">
        <f>IF(H95&gt;C102,(H95-E102)*'Tax Table'!F102,0)</f>
        <v>2194.9522785628928</v>
      </c>
      <c r="I102" s="43">
        <f>IF(I95&gt;C102,(I95-E102)*'Tax Table'!F102,0)</f>
        <v>1720.9332988161279</v>
      </c>
      <c r="J102" s="43">
        <f>IF(J95&gt;C102,(J95-E102)*'Tax Table'!F102,0)</f>
        <v>1710.9397882708572</v>
      </c>
    </row>
    <row r="103" spans="2:10" ht="13.5" thickBot="1" x14ac:dyDescent="0.25">
      <c r="G103" s="44">
        <f>SUM(G96:G100)</f>
        <v>42334.777798001378</v>
      </c>
      <c r="H103" s="44">
        <f>SUM(H96:H100)</f>
        <v>42088.271204551362</v>
      </c>
      <c r="I103" s="44">
        <f>SUM(I96:I100)</f>
        <v>30395.803037464495</v>
      </c>
      <c r="J103" s="44">
        <f>SUM(J96:J100)</f>
        <v>30149.296444014479</v>
      </c>
    </row>
    <row r="104" spans="2:10" ht="13.5" thickTop="1" x14ac:dyDescent="0.2">
      <c r="B104">
        <f>B94+1</f>
        <v>11</v>
      </c>
      <c r="G104" s="43" t="s">
        <v>199</v>
      </c>
      <c r="H104" s="43" t="str">
        <f>'Input Property 1'!L57</f>
        <v>Yes</v>
      </c>
    </row>
    <row r="105" spans="2:10" x14ac:dyDescent="0.2">
      <c r="C105" s="43" t="str">
        <f t="shared" ref="C105:F110" si="11">C95</f>
        <v>Lower</v>
      </c>
      <c r="D105" s="43" t="str">
        <f t="shared" si="11"/>
        <v>Upper</v>
      </c>
      <c r="E105" t="str">
        <f t="shared" si="11"/>
        <v>Fixed</v>
      </c>
      <c r="F105" t="str">
        <f t="shared" si="11"/>
        <v>Variable</v>
      </c>
      <c r="G105" s="43">
        <f>'Data Property 1'!M206</f>
        <v>149936.31365935516</v>
      </c>
      <c r="H105" s="43">
        <f>'Data Property 1'!M209</f>
        <v>149560.17984836543</v>
      </c>
      <c r="I105" s="43">
        <f>'Data Property 1'!M215</f>
        <v>117023.46431949671</v>
      </c>
      <c r="J105" s="43">
        <f>'Data Property 1'!M218</f>
        <v>116647.33050850699</v>
      </c>
    </row>
    <row r="106" spans="2:10" x14ac:dyDescent="0.2">
      <c r="C106" s="43">
        <f t="shared" si="11"/>
        <v>0</v>
      </c>
      <c r="D106" s="43">
        <f t="shared" si="11"/>
        <v>18200</v>
      </c>
      <c r="E106">
        <f t="shared" si="11"/>
        <v>0</v>
      </c>
      <c r="F106" s="45">
        <f t="shared" si="11"/>
        <v>0</v>
      </c>
    </row>
    <row r="107" spans="2:10" x14ac:dyDescent="0.2">
      <c r="C107" s="43">
        <f t="shared" si="11"/>
        <v>18201</v>
      </c>
      <c r="D107" s="43">
        <f t="shared" si="11"/>
        <v>37000</v>
      </c>
      <c r="E107">
        <f t="shared" si="11"/>
        <v>0</v>
      </c>
      <c r="F107" s="45">
        <f t="shared" si="11"/>
        <v>0.19</v>
      </c>
      <c r="G107" s="43">
        <f>IF(G105&gt;'Tax Table'!C107,IF('Tax Table'!D107&gt;G105,(G105-'Tax Table'!C107)*'Tax Table'!F107,('Tax Table'!D107-'Tax Table'!C107)*'Tax Table'!F107))</f>
        <v>3571.81</v>
      </c>
      <c r="H107" s="43">
        <f>IF(H105&gt;'Tax Table'!C107,IF('Tax Table'!D107&gt;H105,(H105-'Tax Table'!C107)*'Tax Table'!F107,('Tax Table'!D107-'Tax Table'!C107)*'Tax Table'!F107))</f>
        <v>3571.81</v>
      </c>
      <c r="I107" s="43">
        <f>IF(I105&gt;'Tax Table'!C107,IF('Tax Table'!D107&gt;I105,(I105-'Tax Table'!C107)*'Tax Table'!F107,('Tax Table'!D107-'Tax Table'!C107)*'Tax Table'!F107),0)</f>
        <v>3571.81</v>
      </c>
      <c r="J107" s="43">
        <f>IF(J105&gt;'Tax Table'!C107,IF('Tax Table'!D107&gt;J105,(J105-'Tax Table'!C107)*'Tax Table'!F107,('Tax Table'!D107-'Tax Table'!C107)*'Tax Table'!F107),0)</f>
        <v>3571.81</v>
      </c>
    </row>
    <row r="108" spans="2:10" x14ac:dyDescent="0.2">
      <c r="C108" s="43">
        <f t="shared" si="11"/>
        <v>37001</v>
      </c>
      <c r="D108" s="43">
        <f t="shared" si="11"/>
        <v>80000</v>
      </c>
      <c r="E108">
        <f t="shared" si="11"/>
        <v>0</v>
      </c>
      <c r="F108" s="45">
        <f t="shared" si="11"/>
        <v>0.32500000000000001</v>
      </c>
      <c r="G108" s="43">
        <f>IF(G105&gt;'Tax Table'!C108,IF('Tax Table'!D108&gt;G105,(G105-'Tax Table'!C108)*'Tax Table'!F108,('Tax Table'!D108-'Tax Table'!C108)*'Tax Table'!F108))</f>
        <v>13974.675000000001</v>
      </c>
      <c r="H108" s="43">
        <f>IF(H105&gt;'Tax Table'!C108,IF('Tax Table'!D108&gt;H105,(H105-'Tax Table'!C108)*'Tax Table'!F108,('Tax Table'!D108-'Tax Table'!C108)*'Tax Table'!F108))</f>
        <v>13974.675000000001</v>
      </c>
      <c r="I108" s="43">
        <f>IF(I105&gt;'Tax Table'!C108,IF('Tax Table'!D108&gt;I105,(I105-'Tax Table'!C108)*'Tax Table'!F108,('Tax Table'!D108-'Tax Table'!C108)*'Tax Table'!F108),0)</f>
        <v>13974.675000000001</v>
      </c>
      <c r="J108" s="43">
        <f>IF(J105&gt;'Tax Table'!C108,IF('Tax Table'!D108&gt;J105,(J105-'Tax Table'!C108)*'Tax Table'!F108,('Tax Table'!D108-'Tax Table'!C108)*'Tax Table'!F108),0)</f>
        <v>13974.675000000001</v>
      </c>
    </row>
    <row r="109" spans="2:10" x14ac:dyDescent="0.2">
      <c r="C109" s="43">
        <f t="shared" si="11"/>
        <v>80001</v>
      </c>
      <c r="D109" s="43">
        <f t="shared" si="11"/>
        <v>180000</v>
      </c>
      <c r="E109">
        <f t="shared" si="11"/>
        <v>0</v>
      </c>
      <c r="F109" s="45">
        <f t="shared" si="11"/>
        <v>0.37</v>
      </c>
      <c r="G109" s="43">
        <f>IF(G105&gt;'Tax Table'!C109,IF('Tax Table'!D109&gt;G105,(G105-'Tax Table'!C109)*'Tax Table'!F109,('Tax Table'!D109-'Tax Table'!C109)*'Tax Table'!F109))</f>
        <v>25876.066053961411</v>
      </c>
      <c r="H109" s="43">
        <f>IF(H105&gt;'Tax Table'!C109,IF('Tax Table'!D109&gt;H105,(H105-'Tax Table'!C109)*'Tax Table'!F109,('Tax Table'!D109-'Tax Table'!C109)*'Tax Table'!F109))</f>
        <v>25736.896543895207</v>
      </c>
      <c r="I109" s="43">
        <f>IF(I105&gt;'Tax Table'!C109,IF('Tax Table'!D109&gt;I105,(I105-'Tax Table'!C109)*'Tax Table'!F109,('Tax Table'!D109-'Tax Table'!C109)*'Tax Table'!F109),0)</f>
        <v>13698.311798213781</v>
      </c>
      <c r="J109" s="43">
        <f>IF(J105&gt;'Tax Table'!C109,IF('Tax Table'!D109&gt;J105,(J105-'Tax Table'!C109)*'Tax Table'!F109,('Tax Table'!D109-'Tax Table'!C109)*'Tax Table'!F109),0)</f>
        <v>13559.142288147585</v>
      </c>
    </row>
    <row r="110" spans="2:10" x14ac:dyDescent="0.2">
      <c r="C110" s="43">
        <f t="shared" si="11"/>
        <v>180001</v>
      </c>
      <c r="D110" s="43">
        <f t="shared" si="11"/>
        <v>0</v>
      </c>
      <c r="E110">
        <f t="shared" si="11"/>
        <v>0</v>
      </c>
      <c r="F110" s="45">
        <f t="shared" si="11"/>
        <v>0.45</v>
      </c>
      <c r="G110" s="43">
        <f>IF(G105&gt;'Tax Table'!C110,(G105-'Tax Table'!C110)*'Tax Table'!F110,0)</f>
        <v>0</v>
      </c>
      <c r="H110" s="43">
        <f>IF(H105&gt;'Tax Table'!C110,(H105-'Tax Table'!C110)*'Tax Table'!F110,0)</f>
        <v>0</v>
      </c>
      <c r="I110" s="43">
        <f>IF(I105&gt;'Tax Table'!C110,(I105-'Tax Table'!C110)*'Tax Table'!F110,0)</f>
        <v>0</v>
      </c>
      <c r="J110" s="43">
        <f>IF(J105&gt;'Tax Table'!C110,(J105-'Tax Table'!C110)*'Tax Table'!F110,0)</f>
        <v>0</v>
      </c>
    </row>
    <row r="111" spans="2:10" x14ac:dyDescent="0.2">
      <c r="B111" t="str">
        <f>B101</f>
        <v>Medicare Surchage</v>
      </c>
      <c r="C111" s="43">
        <f t="shared" ref="C111:F112" si="12">C101</f>
        <v>50000</v>
      </c>
      <c r="D111" s="43" t="str">
        <f t="shared" si="12"/>
        <v>From</v>
      </c>
      <c r="E111">
        <f t="shared" si="12"/>
        <v>0</v>
      </c>
      <c r="F111" s="45">
        <f t="shared" si="12"/>
        <v>0.01</v>
      </c>
      <c r="G111" s="43">
        <f>IF(H104="Yes",IF(G105&gt;C111,(G105-E111)*'Tax Table'!F111,0),0)</f>
        <v>1499.3631365935516</v>
      </c>
      <c r="H111" s="43">
        <f>IF(H104="Yes",IF(H105&gt;C111,(H105-E111)*'Tax Table'!F111,0),0)</f>
        <v>1495.6017984836542</v>
      </c>
      <c r="I111" s="43">
        <f>IF(H104="Yes",IF(I105&gt;C111,(I105-E111)*'Tax Table'!F111,0),0)</f>
        <v>1170.234643194967</v>
      </c>
      <c r="J111" s="43">
        <f>IF(H104="Yes",IF(J105&gt;C111,(J105-E111)*'Tax Table'!F111,0),0)</f>
        <v>1166.4733050850698</v>
      </c>
    </row>
    <row r="112" spans="2:10" x14ac:dyDescent="0.2">
      <c r="B112" t="str">
        <f>B102</f>
        <v>Medicare Levy</v>
      </c>
      <c r="C112" s="43">
        <f>C102</f>
        <v>16000</v>
      </c>
      <c r="D112" s="43" t="str">
        <f t="shared" si="12"/>
        <v>From</v>
      </c>
      <c r="E112">
        <f t="shared" si="12"/>
        <v>0</v>
      </c>
      <c r="F112" s="45">
        <f t="shared" si="12"/>
        <v>1.4999999999999999E-2</v>
      </c>
      <c r="G112" s="43">
        <f>IF(G105&gt;C112,(G105-E112)*'Tax Table'!F112,0)</f>
        <v>2249.0447048903275</v>
      </c>
      <c r="H112" s="43">
        <f>IF(H105&gt;C112,(H105-E112)*'Tax Table'!F112,0)</f>
        <v>2243.4026977254812</v>
      </c>
      <c r="I112" s="43">
        <f>IF(I105&gt;C112,(I105-E112)*'Tax Table'!F112,0)</f>
        <v>1755.3519647924506</v>
      </c>
      <c r="J112" s="43">
        <f>IF(J105&gt;C112,(J105-E112)*'Tax Table'!F112,0)</f>
        <v>1749.7099576276048</v>
      </c>
    </row>
    <row r="113" spans="2:10" ht="13.5" thickBot="1" x14ac:dyDescent="0.25">
      <c r="G113" s="44">
        <f>SUM(G106:G110)</f>
        <v>43422.551053961412</v>
      </c>
      <c r="H113" s="44">
        <f>SUM(H106:H110)</f>
        <v>43283.381543895208</v>
      </c>
      <c r="I113" s="44">
        <f>SUM(I106:I110)</f>
        <v>31244.796798213782</v>
      </c>
      <c r="J113" s="44">
        <f>SUM(J106:J110)</f>
        <v>31105.627288147585</v>
      </c>
    </row>
    <row r="114" spans="2:10" ht="13.5" thickTop="1" x14ac:dyDescent="0.2">
      <c r="B114">
        <f>B104+1</f>
        <v>12</v>
      </c>
      <c r="G114" s="43" t="s">
        <v>200</v>
      </c>
      <c r="H114" s="43" t="str">
        <f>'Input Property 1'!M57</f>
        <v>Yes</v>
      </c>
    </row>
    <row r="115" spans="2:10" x14ac:dyDescent="0.2">
      <c r="C115" s="43" t="str">
        <f t="shared" ref="C115:F120" si="13">C105</f>
        <v>Lower</v>
      </c>
      <c r="D115" s="43" t="str">
        <f t="shared" si="13"/>
        <v>Upper</v>
      </c>
      <c r="E115" t="str">
        <f t="shared" si="13"/>
        <v>Fixed</v>
      </c>
      <c r="F115" t="str">
        <f t="shared" si="13"/>
        <v>Variable</v>
      </c>
      <c r="G115" s="43">
        <f>'Data Property 1'!N206</f>
        <v>152935.03993254228</v>
      </c>
      <c r="H115" s="43">
        <f>'Data Property 1'!N209</f>
        <v>152868.59603582555</v>
      </c>
      <c r="I115" s="43">
        <f>'Data Property 1'!N215</f>
        <v>119363.93360588665</v>
      </c>
      <c r="J115" s="43">
        <f>'Data Property 1'!N218</f>
        <v>119297.48970916992</v>
      </c>
    </row>
    <row r="116" spans="2:10" x14ac:dyDescent="0.2">
      <c r="C116" s="43">
        <f t="shared" si="13"/>
        <v>0</v>
      </c>
      <c r="D116" s="43">
        <f t="shared" si="13"/>
        <v>18200</v>
      </c>
      <c r="E116">
        <f t="shared" si="13"/>
        <v>0</v>
      </c>
      <c r="F116" s="45">
        <f t="shared" si="13"/>
        <v>0</v>
      </c>
    </row>
    <row r="117" spans="2:10" x14ac:dyDescent="0.2">
      <c r="C117" s="43">
        <f t="shared" si="13"/>
        <v>18201</v>
      </c>
      <c r="D117" s="43">
        <f t="shared" si="13"/>
        <v>37000</v>
      </c>
      <c r="E117">
        <f t="shared" si="13"/>
        <v>0</v>
      </c>
      <c r="F117" s="45">
        <f t="shared" si="13"/>
        <v>0.19</v>
      </c>
      <c r="G117" s="43">
        <f>IF(G115&gt;'Tax Table'!C117,IF('Tax Table'!D117&gt;G115,(G115-'Tax Table'!C117)*'Tax Table'!F117,('Tax Table'!D117-'Tax Table'!C117)*'Tax Table'!F117))</f>
        <v>3571.81</v>
      </c>
      <c r="H117" s="43">
        <f>IF(H115&gt;'Tax Table'!C117,IF('Tax Table'!D117&gt;H115,(H115-'Tax Table'!C117)*'Tax Table'!F117,('Tax Table'!D117-'Tax Table'!C117)*'Tax Table'!F117))</f>
        <v>3571.81</v>
      </c>
      <c r="I117" s="43">
        <f>IF(I115&gt;'Tax Table'!C117,IF('Tax Table'!D117&gt;I115,(I115-'Tax Table'!C117)*'Tax Table'!F117,('Tax Table'!D117-'Tax Table'!C117)*'Tax Table'!F117),0)</f>
        <v>3571.81</v>
      </c>
      <c r="J117" s="43">
        <f>IF(J115&gt;'Tax Table'!C117,IF('Tax Table'!D117&gt;J115,(J115-'Tax Table'!C117)*'Tax Table'!F117,('Tax Table'!D117-'Tax Table'!C117)*'Tax Table'!F117),0)</f>
        <v>3571.81</v>
      </c>
    </row>
    <row r="118" spans="2:10" x14ac:dyDescent="0.2">
      <c r="C118" s="43">
        <f t="shared" si="13"/>
        <v>37001</v>
      </c>
      <c r="D118" s="43">
        <f t="shared" si="13"/>
        <v>80000</v>
      </c>
      <c r="E118">
        <f t="shared" si="13"/>
        <v>0</v>
      </c>
      <c r="F118" s="45">
        <f t="shared" si="13"/>
        <v>0.32500000000000001</v>
      </c>
      <c r="G118" s="43">
        <f>IF(G115&gt;'Tax Table'!C118,IF('Tax Table'!D118&gt;G115,(G115-'Tax Table'!C118)*'Tax Table'!F118,('Tax Table'!D118-'Tax Table'!C118)*'Tax Table'!F118))</f>
        <v>13974.675000000001</v>
      </c>
      <c r="H118" s="43">
        <f>IF(H115&gt;'Tax Table'!C118,IF('Tax Table'!D118&gt;H115,(H115-'Tax Table'!C118)*'Tax Table'!F118,('Tax Table'!D118-'Tax Table'!C118)*'Tax Table'!F118))</f>
        <v>13974.675000000001</v>
      </c>
      <c r="I118" s="43">
        <f>IF(I115&gt;'Tax Table'!C118,IF('Tax Table'!D118&gt;I115,(I115-'Tax Table'!C118)*'Tax Table'!F118,('Tax Table'!D118-'Tax Table'!C118)*'Tax Table'!F118),0)</f>
        <v>13974.675000000001</v>
      </c>
      <c r="J118" s="43">
        <f>IF(J115&gt;'Tax Table'!C118,IF('Tax Table'!D118&gt;J115,(J115-'Tax Table'!C118)*'Tax Table'!F118,('Tax Table'!D118-'Tax Table'!C118)*'Tax Table'!F118),0)</f>
        <v>13974.675000000001</v>
      </c>
    </row>
    <row r="119" spans="2:10" x14ac:dyDescent="0.2">
      <c r="C119" s="43">
        <f t="shared" si="13"/>
        <v>80001</v>
      </c>
      <c r="D119" s="43">
        <f t="shared" si="13"/>
        <v>180000</v>
      </c>
      <c r="E119">
        <f t="shared" si="13"/>
        <v>0</v>
      </c>
      <c r="F119" s="45">
        <f t="shared" si="13"/>
        <v>0.37</v>
      </c>
      <c r="G119" s="43">
        <f>IF(G115&gt;'Tax Table'!C119,IF('Tax Table'!D119&gt;G115,(G115-'Tax Table'!C119)*'Tax Table'!F119,('Tax Table'!D119-'Tax Table'!C119)*'Tax Table'!F119))</f>
        <v>26985.594775040641</v>
      </c>
      <c r="H119" s="43">
        <f>IF(H115&gt;'Tax Table'!C119,IF('Tax Table'!D119&gt;H115,(H115-'Tax Table'!C119)*'Tax Table'!F119,('Tax Table'!D119-'Tax Table'!C119)*'Tax Table'!F119))</f>
        <v>26961.010533255456</v>
      </c>
      <c r="I119" s="43">
        <f>IF(I115&gt;'Tax Table'!C119,IF('Tax Table'!D119&gt;I115,(I115-'Tax Table'!C119)*'Tax Table'!F119,('Tax Table'!D119-'Tax Table'!C119)*'Tax Table'!F119),0)</f>
        <v>14564.285434178058</v>
      </c>
      <c r="J119" s="43">
        <f>IF(J115&gt;'Tax Table'!C119,IF('Tax Table'!D119&gt;J115,(J115-'Tax Table'!C119)*'Tax Table'!F119,('Tax Table'!D119-'Tax Table'!C119)*'Tax Table'!F119),0)</f>
        <v>14539.701192392871</v>
      </c>
    </row>
    <row r="120" spans="2:10" x14ac:dyDescent="0.2">
      <c r="C120" s="43">
        <f t="shared" si="13"/>
        <v>180001</v>
      </c>
      <c r="D120" s="43">
        <f t="shared" si="13"/>
        <v>0</v>
      </c>
      <c r="E120">
        <f t="shared" si="13"/>
        <v>0</v>
      </c>
      <c r="F120" s="45">
        <f t="shared" si="13"/>
        <v>0.45</v>
      </c>
      <c r="G120" s="43">
        <f>IF(G115&gt;'Tax Table'!C120,(G115-'Tax Table'!C120)*'Tax Table'!F120,0)</f>
        <v>0</v>
      </c>
      <c r="H120" s="43">
        <f>IF(H115&gt;'Tax Table'!C120,(H115-'Tax Table'!C120)*'Tax Table'!F120,0)</f>
        <v>0</v>
      </c>
      <c r="I120" s="43">
        <f>IF(I115&gt;'Tax Table'!C120,(I115-'Tax Table'!C120)*'Tax Table'!F120,0)</f>
        <v>0</v>
      </c>
      <c r="J120" s="43">
        <f>IF(J115&gt;'Tax Table'!C120,(J115-'Tax Table'!C120)*'Tax Table'!F120,0)</f>
        <v>0</v>
      </c>
    </row>
    <row r="121" spans="2:10" x14ac:dyDescent="0.2">
      <c r="B121" t="str">
        <f>B111</f>
        <v>Medicare Surchage</v>
      </c>
      <c r="C121" s="43">
        <f t="shared" ref="C121:F122" si="14">C111</f>
        <v>50000</v>
      </c>
      <c r="D121" s="43" t="str">
        <f t="shared" si="14"/>
        <v>From</v>
      </c>
      <c r="E121">
        <f t="shared" si="14"/>
        <v>0</v>
      </c>
      <c r="F121" s="45">
        <f t="shared" si="14"/>
        <v>0.01</v>
      </c>
      <c r="G121" s="43">
        <f>IF(H114="Yes",IF(G115&gt;C121,(G115-E121)*'Tax Table'!F121,0),0)</f>
        <v>1529.3503993254228</v>
      </c>
      <c r="H121" s="43">
        <f>IF(H114="Yes",IF(H115&gt;C121,(H115-E121)*'Tax Table'!F121,0),0)</f>
        <v>1528.6859603582557</v>
      </c>
      <c r="I121" s="43">
        <f>IF(H114="Yes",IF(I115&gt;C121,(I115-E121)*'Tax Table'!F121,0),0)</f>
        <v>1193.6393360588665</v>
      </c>
      <c r="J121" s="43">
        <f>IF(H114="Yes",IF(J115&gt;C121,(J115-E121)*'Tax Table'!F121,0),0)</f>
        <v>1192.9748970916992</v>
      </c>
    </row>
    <row r="122" spans="2:10" x14ac:dyDescent="0.2">
      <c r="B122" t="str">
        <f>B112</f>
        <v>Medicare Levy</v>
      </c>
      <c r="C122" s="43">
        <f>C112</f>
        <v>16000</v>
      </c>
      <c r="D122" s="43" t="str">
        <f t="shared" si="14"/>
        <v>From</v>
      </c>
      <c r="E122">
        <f t="shared" si="14"/>
        <v>0</v>
      </c>
      <c r="F122" s="45">
        <f t="shared" si="14"/>
        <v>1.4999999999999999E-2</v>
      </c>
      <c r="G122" s="43">
        <f>IF(G115&gt;C122,(G115-E122)*'Tax Table'!F122,0)</f>
        <v>2294.0255989881339</v>
      </c>
      <c r="H122" s="43">
        <f>IF(H115&gt;C122,(H115-E122)*'Tax Table'!F122,0)</f>
        <v>2293.0289405373833</v>
      </c>
      <c r="I122" s="43">
        <f>IF(I115&gt;C122,(I115-E122)*'Tax Table'!F122,0)</f>
        <v>1790.4590040882997</v>
      </c>
      <c r="J122" s="43">
        <f>IF(J115&gt;C122,(J115-E122)*'Tax Table'!F122,0)</f>
        <v>1789.4623456375489</v>
      </c>
    </row>
    <row r="123" spans="2:10" ht="13.5" thickBot="1" x14ac:dyDescent="0.25">
      <c r="G123" s="44">
        <f>SUM(G116:G120)</f>
        <v>44532.079775040642</v>
      </c>
      <c r="H123" s="44">
        <f>SUM(H116:H120)</f>
        <v>44507.495533255453</v>
      </c>
      <c r="I123" s="44">
        <f>SUM(I116:I120)</f>
        <v>32110.770434178059</v>
      </c>
      <c r="J123" s="44">
        <f>SUM(J116:J120)</f>
        <v>32086.186192392874</v>
      </c>
    </row>
    <row r="124" spans="2:10" ht="13.5" thickTop="1" x14ac:dyDescent="0.2">
      <c r="B124">
        <f>B114+1</f>
        <v>13</v>
      </c>
      <c r="G124" s="43" t="s">
        <v>201</v>
      </c>
      <c r="H124" s="43" t="str">
        <f>'Input Property 1'!N57</f>
        <v>Yes</v>
      </c>
    </row>
    <row r="125" spans="2:10" x14ac:dyDescent="0.2">
      <c r="C125" s="43" t="str">
        <f t="shared" ref="C125:F132" si="15">C115</f>
        <v>Lower</v>
      </c>
      <c r="D125" s="43" t="str">
        <f t="shared" si="15"/>
        <v>Upper</v>
      </c>
      <c r="E125" t="str">
        <f t="shared" si="15"/>
        <v>Fixed</v>
      </c>
      <c r="F125" t="str">
        <f t="shared" si="15"/>
        <v>Variable</v>
      </c>
      <c r="G125" s="43">
        <f>'Data Property 1'!O206</f>
        <v>155993.74073119313</v>
      </c>
      <c r="H125" s="43">
        <f>'Data Property 1'!O209</f>
        <v>156246.3807437353</v>
      </c>
      <c r="I125" s="43">
        <f>'Data Property 1'!O215</f>
        <v>121751.21227800439</v>
      </c>
      <c r="J125" s="43">
        <f>'Data Property 1'!O218</f>
        <v>122003.85229054655</v>
      </c>
    </row>
    <row r="126" spans="2:10" x14ac:dyDescent="0.2">
      <c r="C126" s="43">
        <f t="shared" si="15"/>
        <v>0</v>
      </c>
      <c r="D126" s="43">
        <f t="shared" si="15"/>
        <v>18200</v>
      </c>
      <c r="E126">
        <f t="shared" si="15"/>
        <v>0</v>
      </c>
      <c r="F126" s="45">
        <f t="shared" si="15"/>
        <v>0</v>
      </c>
    </row>
    <row r="127" spans="2:10" x14ac:dyDescent="0.2">
      <c r="C127" s="43">
        <f t="shared" si="15"/>
        <v>18201</v>
      </c>
      <c r="D127" s="43">
        <f t="shared" si="15"/>
        <v>37000</v>
      </c>
      <c r="E127">
        <f t="shared" si="15"/>
        <v>0</v>
      </c>
      <c r="F127" s="45">
        <f t="shared" si="15"/>
        <v>0.19</v>
      </c>
      <c r="G127" s="43">
        <f>IF(G125&gt;'Tax Table'!C127,IF('Tax Table'!D127&gt;G125,(G125-'Tax Table'!C127)*'Tax Table'!F127,('Tax Table'!D127-'Tax Table'!C127)*'Tax Table'!F127))</f>
        <v>3571.81</v>
      </c>
      <c r="H127" s="43">
        <f>IF(H125&gt;'Tax Table'!C127,IF('Tax Table'!D127&gt;H125,(H125-'Tax Table'!C127)*'Tax Table'!F127,('Tax Table'!D127-'Tax Table'!C127)*'Tax Table'!F127))</f>
        <v>3571.81</v>
      </c>
      <c r="I127" s="43">
        <f>IF(I125&gt;'Tax Table'!C127,IF('Tax Table'!D127&gt;I125,(I125-'Tax Table'!C127)*'Tax Table'!F127,('Tax Table'!D127-'Tax Table'!C127)*'Tax Table'!F127),0)</f>
        <v>3571.81</v>
      </c>
      <c r="J127" s="43">
        <f>IF(J125&gt;'Tax Table'!C127,IF('Tax Table'!D127&gt;J125,(J125-'Tax Table'!C127)*'Tax Table'!F127,('Tax Table'!D127-'Tax Table'!C127)*'Tax Table'!F127),0)</f>
        <v>3571.81</v>
      </c>
    </row>
    <row r="128" spans="2:10" x14ac:dyDescent="0.2">
      <c r="C128" s="43">
        <f t="shared" si="15"/>
        <v>37001</v>
      </c>
      <c r="D128" s="43">
        <f t="shared" si="15"/>
        <v>80000</v>
      </c>
      <c r="E128">
        <f t="shared" si="15"/>
        <v>0</v>
      </c>
      <c r="F128" s="45">
        <f t="shared" si="15"/>
        <v>0.32500000000000001</v>
      </c>
      <c r="G128" s="43">
        <f>IF(G125&gt;'Tax Table'!C128,IF('Tax Table'!D128&gt;G125,(G125-'Tax Table'!C128)*'Tax Table'!F128,('Tax Table'!D128-'Tax Table'!C128)*'Tax Table'!F128))</f>
        <v>13974.675000000001</v>
      </c>
      <c r="H128" s="43">
        <f>IF(H125&gt;'Tax Table'!C128,IF('Tax Table'!D128&gt;H125,(H125-'Tax Table'!C128)*'Tax Table'!F128,('Tax Table'!D128-'Tax Table'!C128)*'Tax Table'!F128))</f>
        <v>13974.675000000001</v>
      </c>
      <c r="I128" s="43">
        <f>IF(I125&gt;'Tax Table'!C128,IF('Tax Table'!D128&gt;I125,(I125-'Tax Table'!C128)*'Tax Table'!F128,('Tax Table'!D128-'Tax Table'!C128)*'Tax Table'!F128),0)</f>
        <v>13974.675000000001</v>
      </c>
      <c r="J128" s="43">
        <f>IF(J125&gt;'Tax Table'!C128,IF('Tax Table'!D128&gt;J125,(J125-'Tax Table'!C128)*'Tax Table'!F128,('Tax Table'!D128-'Tax Table'!C128)*'Tax Table'!F128),0)</f>
        <v>13974.675000000001</v>
      </c>
    </row>
    <row r="129" spans="2:10" x14ac:dyDescent="0.2">
      <c r="C129" s="43">
        <f t="shared" si="15"/>
        <v>80001</v>
      </c>
      <c r="D129" s="43">
        <f t="shared" si="15"/>
        <v>180000</v>
      </c>
      <c r="E129">
        <f t="shared" si="15"/>
        <v>0</v>
      </c>
      <c r="F129" s="45">
        <f t="shared" si="15"/>
        <v>0.37</v>
      </c>
      <c r="G129" s="43">
        <f>IF(G125&gt;'Tax Table'!C129,IF('Tax Table'!D129&gt;G125,(G125-'Tax Table'!C129)*'Tax Table'!F129,('Tax Table'!D129-'Tax Table'!C129)*'Tax Table'!F129))</f>
        <v>28117.314070541459</v>
      </c>
      <c r="H129" s="43">
        <f>IF(H125&gt;'Tax Table'!C129,IF('Tax Table'!D129&gt;H125,(H125-'Tax Table'!C129)*'Tax Table'!F129,('Tax Table'!D129-'Tax Table'!C129)*'Tax Table'!F129))</f>
        <v>28210.790875182058</v>
      </c>
      <c r="I129" s="43">
        <f>IF(I125&gt;'Tax Table'!C129,IF('Tax Table'!D129&gt;I125,(I125-'Tax Table'!C129)*'Tax Table'!F129,('Tax Table'!D129-'Tax Table'!C129)*'Tax Table'!F129),0)</f>
        <v>15447.578542861624</v>
      </c>
      <c r="J129" s="43">
        <f>IF(J125&gt;'Tax Table'!C129,IF('Tax Table'!D129&gt;J125,(J125-'Tax Table'!C129)*'Tax Table'!F129,('Tax Table'!D129-'Tax Table'!C129)*'Tax Table'!F129),0)</f>
        <v>15541.055347502224</v>
      </c>
    </row>
    <row r="130" spans="2:10" x14ac:dyDescent="0.2">
      <c r="C130" s="43">
        <f t="shared" si="15"/>
        <v>180001</v>
      </c>
      <c r="D130" s="43">
        <f t="shared" si="15"/>
        <v>0</v>
      </c>
      <c r="E130">
        <f t="shared" si="15"/>
        <v>0</v>
      </c>
      <c r="F130" s="45">
        <f t="shared" si="15"/>
        <v>0.45</v>
      </c>
      <c r="G130" s="43">
        <f>IF(G125&gt;'Tax Table'!C130,(G125-'Tax Table'!C130)*'Tax Table'!F130,0)</f>
        <v>0</v>
      </c>
      <c r="H130" s="43">
        <f>IF(H125&gt;'Tax Table'!C130,(H125-'Tax Table'!C130)*'Tax Table'!F130,0)</f>
        <v>0</v>
      </c>
      <c r="I130" s="43">
        <f>IF(I125&gt;'Tax Table'!C130,(I125-'Tax Table'!C130)*'Tax Table'!F130,0)</f>
        <v>0</v>
      </c>
      <c r="J130" s="43">
        <f>IF(J125&gt;'Tax Table'!C130,(J125-'Tax Table'!C130)*'Tax Table'!F130,0)</f>
        <v>0</v>
      </c>
    </row>
    <row r="131" spans="2:10" x14ac:dyDescent="0.2">
      <c r="B131" t="str">
        <f>B121</f>
        <v>Medicare Surchage</v>
      </c>
      <c r="C131" s="43">
        <f t="shared" si="15"/>
        <v>50000</v>
      </c>
      <c r="D131" s="43" t="str">
        <f t="shared" si="15"/>
        <v>From</v>
      </c>
      <c r="E131">
        <f t="shared" si="15"/>
        <v>0</v>
      </c>
      <c r="F131" s="45">
        <f t="shared" si="15"/>
        <v>0.01</v>
      </c>
      <c r="G131" s="43">
        <f>IF(H124="Yes",IF(G125&gt;C131,(G125-E131)*'Tax Table'!F131,0),0)</f>
        <v>1559.9374073119313</v>
      </c>
      <c r="H131" s="43">
        <f>IF(H124="Yes",IF(H125&gt;C131,(H125-E131)*'Tax Table'!F131,0),0)</f>
        <v>1562.4638074373529</v>
      </c>
      <c r="I131" s="43">
        <f>IF(H124="Yes",IF(I125&gt;C131,(I125-E131)*'Tax Table'!F131,0),0)</f>
        <v>1217.5121227800439</v>
      </c>
      <c r="J131" s="43">
        <f>IF(H124="Yes",IF(J125&gt;C131,(J125-E131)*'Tax Table'!F131,0),0)</f>
        <v>1220.0385229054655</v>
      </c>
    </row>
    <row r="132" spans="2:10" x14ac:dyDescent="0.2">
      <c r="B132" t="str">
        <f>B122</f>
        <v>Medicare Levy</v>
      </c>
      <c r="C132" s="43">
        <f t="shared" si="15"/>
        <v>16000</v>
      </c>
      <c r="D132" s="43" t="str">
        <f t="shared" si="15"/>
        <v>From</v>
      </c>
      <c r="E132">
        <f t="shared" si="15"/>
        <v>0</v>
      </c>
      <c r="F132" s="45">
        <f t="shared" si="15"/>
        <v>1.4999999999999999E-2</v>
      </c>
      <c r="G132" s="43">
        <f>IF(G125&gt;C132,(G125-E132)*'Tax Table'!F132,0)</f>
        <v>2339.9061109678969</v>
      </c>
      <c r="H132" s="43">
        <f>IF(H125&gt;C132,(H125-E132)*'Tax Table'!F132,0)</f>
        <v>2343.6957111560291</v>
      </c>
      <c r="I132" s="43">
        <f>IF(I125&gt;C132,(I125-E132)*'Tax Table'!F132,0)</f>
        <v>1826.2681841700658</v>
      </c>
      <c r="J132" s="43">
        <f>IF(J125&gt;C132,(J125-E132)*'Tax Table'!F132,0)</f>
        <v>1830.0577843581982</v>
      </c>
    </row>
    <row r="133" spans="2:10" ht="13.5" thickBot="1" x14ac:dyDescent="0.25">
      <c r="G133" s="44">
        <f>SUM(G126:G130)</f>
        <v>45663.799070541456</v>
      </c>
      <c r="H133" s="44">
        <f>SUM(H126:H130)</f>
        <v>45757.275875182058</v>
      </c>
      <c r="I133" s="44">
        <f>SUM(I126:I130)</f>
        <v>32994.063542861622</v>
      </c>
      <c r="J133" s="44">
        <f>SUM(J126:J130)</f>
        <v>33087.540347502225</v>
      </c>
    </row>
    <row r="134" spans="2:10" ht="13.5" thickTop="1" x14ac:dyDescent="0.2">
      <c r="B134">
        <f>B124+1</f>
        <v>14</v>
      </c>
      <c r="G134" s="43" t="s">
        <v>202</v>
      </c>
      <c r="H134" s="43" t="str">
        <f>'Input Property 1'!O57</f>
        <v>Yes</v>
      </c>
    </row>
    <row r="135" spans="2:10" x14ac:dyDescent="0.2">
      <c r="C135" s="43" t="str">
        <f t="shared" ref="C135:F140" si="16">C125</f>
        <v>Lower</v>
      </c>
      <c r="D135" s="43" t="str">
        <f t="shared" si="16"/>
        <v>Upper</v>
      </c>
      <c r="E135" t="str">
        <f t="shared" si="16"/>
        <v>Fixed</v>
      </c>
      <c r="F135" t="str">
        <f t="shared" si="16"/>
        <v>Variable</v>
      </c>
      <c r="G135" s="43">
        <f>'Data Property 1'!P206</f>
        <v>159113.61554581701</v>
      </c>
      <c r="H135" s="43">
        <f>'Data Property 1'!P209</f>
        <v>159711.53671653394</v>
      </c>
      <c r="I135" s="43">
        <f>'Data Property 1'!P215</f>
        <v>124186.23652356448</v>
      </c>
      <c r="J135" s="43">
        <f>'Data Property 1'!P218</f>
        <v>124784.15769428143</v>
      </c>
    </row>
    <row r="136" spans="2:10" x14ac:dyDescent="0.2">
      <c r="C136" s="43">
        <f t="shared" si="16"/>
        <v>0</v>
      </c>
      <c r="D136" s="43">
        <f t="shared" si="16"/>
        <v>18200</v>
      </c>
      <c r="E136">
        <f t="shared" si="16"/>
        <v>0</v>
      </c>
      <c r="F136" s="45">
        <f t="shared" si="16"/>
        <v>0</v>
      </c>
    </row>
    <row r="137" spans="2:10" x14ac:dyDescent="0.2">
      <c r="C137" s="43">
        <f t="shared" si="16"/>
        <v>18201</v>
      </c>
      <c r="D137" s="43">
        <f t="shared" si="16"/>
        <v>37000</v>
      </c>
      <c r="E137">
        <f t="shared" si="16"/>
        <v>0</v>
      </c>
      <c r="F137" s="45">
        <f t="shared" si="16"/>
        <v>0.19</v>
      </c>
      <c r="G137" s="43">
        <f>IF(G135&gt;'Tax Table'!C137,IF('Tax Table'!D137&gt;G135,(G135-'Tax Table'!C137)*'Tax Table'!F137,('Tax Table'!D137-'Tax Table'!C137)*'Tax Table'!F137))</f>
        <v>3571.81</v>
      </c>
      <c r="H137" s="43">
        <f>IF(H135&gt;'Tax Table'!C137,IF('Tax Table'!D137&gt;H135,(H135-'Tax Table'!C137)*'Tax Table'!F137,('Tax Table'!D137-'Tax Table'!C137)*'Tax Table'!F137))</f>
        <v>3571.81</v>
      </c>
      <c r="I137" s="43">
        <f>IF(I135&gt;'Tax Table'!C137,IF('Tax Table'!D137&gt;I135,(I135-'Tax Table'!C137)*'Tax Table'!F137,('Tax Table'!D137-'Tax Table'!C137)*'Tax Table'!F137),0)</f>
        <v>3571.81</v>
      </c>
      <c r="J137" s="43">
        <f>IF(J135&gt;'Tax Table'!C137,IF('Tax Table'!D137&gt;J135,(J135-'Tax Table'!C137)*'Tax Table'!F137,('Tax Table'!D137-'Tax Table'!C137)*'Tax Table'!F137),0)</f>
        <v>3571.81</v>
      </c>
    </row>
    <row r="138" spans="2:10" x14ac:dyDescent="0.2">
      <c r="C138" s="43">
        <f t="shared" si="16"/>
        <v>37001</v>
      </c>
      <c r="D138" s="43">
        <f t="shared" si="16"/>
        <v>80000</v>
      </c>
      <c r="E138">
        <f t="shared" si="16"/>
        <v>0</v>
      </c>
      <c r="F138" s="45">
        <f t="shared" si="16"/>
        <v>0.32500000000000001</v>
      </c>
      <c r="G138" s="43">
        <f>IF(G135&gt;'Tax Table'!C138,IF('Tax Table'!D138&gt;G135,(G135-'Tax Table'!C138)*'Tax Table'!F138,('Tax Table'!D138-'Tax Table'!C138)*'Tax Table'!F138))</f>
        <v>13974.675000000001</v>
      </c>
      <c r="H138" s="43">
        <f>IF(H135&gt;'Tax Table'!C138,IF('Tax Table'!D138&gt;H135,(H135-'Tax Table'!C138)*'Tax Table'!F138,('Tax Table'!D138-'Tax Table'!C138)*'Tax Table'!F138))</f>
        <v>13974.675000000001</v>
      </c>
      <c r="I138" s="43">
        <f>IF(I135&gt;'Tax Table'!C138,IF('Tax Table'!D138&gt;I135,(I135-'Tax Table'!C138)*'Tax Table'!F138,('Tax Table'!D138-'Tax Table'!C138)*'Tax Table'!F138),0)</f>
        <v>13974.675000000001</v>
      </c>
      <c r="J138" s="43">
        <f>IF(J135&gt;'Tax Table'!C138,IF('Tax Table'!D138&gt;J135,(J135-'Tax Table'!C138)*'Tax Table'!F138,('Tax Table'!D138-'Tax Table'!C138)*'Tax Table'!F138),0)</f>
        <v>13974.675000000001</v>
      </c>
    </row>
    <row r="139" spans="2:10" x14ac:dyDescent="0.2">
      <c r="C139" s="43">
        <f t="shared" si="16"/>
        <v>80001</v>
      </c>
      <c r="D139" s="43">
        <f t="shared" si="16"/>
        <v>180000</v>
      </c>
      <c r="E139">
        <f t="shared" si="16"/>
        <v>0</v>
      </c>
      <c r="F139" s="45">
        <f t="shared" si="16"/>
        <v>0.37</v>
      </c>
      <c r="G139" s="43">
        <f>IF(G135&gt;'Tax Table'!C139,IF('Tax Table'!D139&gt;G135,(G135-'Tax Table'!C139)*'Tax Table'!F139,('Tax Table'!D139-'Tax Table'!C139)*'Tax Table'!F139))</f>
        <v>29271.667751952293</v>
      </c>
      <c r="H139" s="43">
        <f>IF(H135&gt;'Tax Table'!C139,IF('Tax Table'!D139&gt;H135,(H135-'Tax Table'!C139)*'Tax Table'!F139,('Tax Table'!D139-'Tax Table'!C139)*'Tax Table'!F139))</f>
        <v>29492.898585117557</v>
      </c>
      <c r="I139" s="43">
        <f>IF(I135&gt;'Tax Table'!C139,IF('Tax Table'!D139&gt;I135,(I135-'Tax Table'!C139)*'Tax Table'!F139,('Tax Table'!D139-'Tax Table'!C139)*'Tax Table'!F139),0)</f>
        <v>16348.537513718858</v>
      </c>
      <c r="J139" s="43">
        <f>IF(J135&gt;'Tax Table'!C139,IF('Tax Table'!D139&gt;J135,(J135-'Tax Table'!C139)*'Tax Table'!F139,('Tax Table'!D139-'Tax Table'!C139)*'Tax Table'!F139),0)</f>
        <v>16569.768346884128</v>
      </c>
    </row>
    <row r="140" spans="2:10" x14ac:dyDescent="0.2">
      <c r="C140" s="43">
        <f t="shared" si="16"/>
        <v>180001</v>
      </c>
      <c r="D140" s="43">
        <f t="shared" si="16"/>
        <v>0</v>
      </c>
      <c r="E140">
        <f t="shared" si="16"/>
        <v>0</v>
      </c>
      <c r="F140" s="45">
        <f t="shared" si="16"/>
        <v>0.45</v>
      </c>
      <c r="G140" s="43">
        <f>IF(G135&gt;'Tax Table'!C140,(G135-'Tax Table'!C140)*'Tax Table'!F140,0)</f>
        <v>0</v>
      </c>
      <c r="H140" s="43">
        <f>IF(H135&gt;'Tax Table'!C140,(H135-'Tax Table'!C140)*'Tax Table'!F140,0)</f>
        <v>0</v>
      </c>
      <c r="I140" s="43">
        <f>IF(I135&gt;'Tax Table'!C140,(I135-'Tax Table'!C140)*'Tax Table'!F140,0)</f>
        <v>0</v>
      </c>
      <c r="J140" s="43">
        <f>IF(J135&gt;'Tax Table'!C140,(J135-'Tax Table'!C140)*'Tax Table'!F140,0)</f>
        <v>0</v>
      </c>
    </row>
    <row r="141" spans="2:10" x14ac:dyDescent="0.2">
      <c r="B141" t="str">
        <f>B131</f>
        <v>Medicare Surchage</v>
      </c>
      <c r="C141" s="43">
        <f t="shared" ref="C141:F142" si="17">C131</f>
        <v>50000</v>
      </c>
      <c r="D141" s="43" t="str">
        <f t="shared" si="17"/>
        <v>From</v>
      </c>
      <c r="E141">
        <f t="shared" si="17"/>
        <v>0</v>
      </c>
      <c r="F141" s="45">
        <f t="shared" si="17"/>
        <v>0.01</v>
      </c>
      <c r="G141" s="43">
        <f>IF(H134="Yes",IF(G135&gt;C141,(G135-E141)*'Tax Table'!F141,0),0)</f>
        <v>1591.1361554581702</v>
      </c>
      <c r="H141" s="43">
        <f>IF(H134="Yes",IF(H135&gt;C141,(H135-E141)*'Tax Table'!F141,0),0)</f>
        <v>1597.1153671653394</v>
      </c>
      <c r="I141" s="43">
        <f>IF(H134="Yes",IF(I135&gt;C141,(I135-E141)*'Tax Table'!F141,0),0)</f>
        <v>1241.8623652356448</v>
      </c>
      <c r="J141" s="43">
        <f>IF(H134="Yes",IF(J135&gt;C141,(J135-E141)*'Tax Table'!F141,0),0)</f>
        <v>1247.8415769428143</v>
      </c>
    </row>
    <row r="142" spans="2:10" x14ac:dyDescent="0.2">
      <c r="B142" t="str">
        <f>B132</f>
        <v>Medicare Levy</v>
      </c>
      <c r="C142" s="43">
        <f>C132</f>
        <v>16000</v>
      </c>
      <c r="D142" s="43" t="str">
        <f t="shared" si="17"/>
        <v>From</v>
      </c>
      <c r="E142">
        <f t="shared" si="17"/>
        <v>0</v>
      </c>
      <c r="F142" s="45">
        <f t="shared" si="17"/>
        <v>1.4999999999999999E-2</v>
      </c>
      <c r="G142" s="43">
        <f>IF(G135&gt;C142,(G135-E142)*'Tax Table'!F142,0)</f>
        <v>2386.7042331872549</v>
      </c>
      <c r="H142" s="43">
        <f>IF(H135&gt;C142,(H135-E142)*'Tax Table'!F142,0)</f>
        <v>2395.6730507480092</v>
      </c>
      <c r="I142" s="43">
        <f>IF(I135&gt;C142,(I135-E142)*'Tax Table'!F142,0)</f>
        <v>1862.7935478534671</v>
      </c>
      <c r="J142" s="43">
        <f>IF(J135&gt;C142,(J135-E142)*'Tax Table'!F142,0)</f>
        <v>1871.7623654142214</v>
      </c>
    </row>
    <row r="143" spans="2:10" ht="13.5" thickBot="1" x14ac:dyDescent="0.25">
      <c r="G143" s="44">
        <f>SUM(G136:G140)</f>
        <v>46818.152751952293</v>
      </c>
      <c r="H143" s="44">
        <f>SUM(H136:H140)</f>
        <v>47039.383585117554</v>
      </c>
      <c r="I143" s="44">
        <f>SUM(I136:I140)</f>
        <v>33895.022513718861</v>
      </c>
      <c r="J143" s="44">
        <f>SUM(J136:J140)</f>
        <v>34116.253346884128</v>
      </c>
    </row>
    <row r="144" spans="2:10" ht="13.5" thickTop="1" x14ac:dyDescent="0.2">
      <c r="B144">
        <f>B134+1</f>
        <v>15</v>
      </c>
      <c r="G144" s="43" t="s">
        <v>203</v>
      </c>
      <c r="H144" s="43" t="str">
        <f>'Input Property 1'!P57</f>
        <v>Yes</v>
      </c>
    </row>
    <row r="145" spans="2:10" x14ac:dyDescent="0.2">
      <c r="C145" s="43" t="str">
        <f t="shared" ref="C145:F152" si="18">C135</f>
        <v>Lower</v>
      </c>
      <c r="D145" s="43" t="str">
        <f t="shared" si="18"/>
        <v>Upper</v>
      </c>
      <c r="E145" t="str">
        <f t="shared" si="18"/>
        <v>Fixed</v>
      </c>
      <c r="F145" t="str">
        <f t="shared" si="18"/>
        <v>Variable</v>
      </c>
      <c r="G145" s="43">
        <f>'Data Property 1'!Q206</f>
        <v>162295.88785673334</v>
      </c>
      <c r="H145" s="43">
        <f>'Data Property 1'!Q209</f>
        <v>163218.65948684877</v>
      </c>
      <c r="I145" s="43">
        <f>'Data Property 1'!Q215</f>
        <v>126669.96125403578</v>
      </c>
      <c r="J145" s="43">
        <f>'Data Property 1'!Q218</f>
        <v>127592.73288415121</v>
      </c>
    </row>
    <row r="146" spans="2:10" x14ac:dyDescent="0.2">
      <c r="C146" s="43">
        <f t="shared" si="18"/>
        <v>0</v>
      </c>
      <c r="D146" s="43">
        <f t="shared" si="18"/>
        <v>18200</v>
      </c>
      <c r="E146">
        <f t="shared" si="18"/>
        <v>0</v>
      </c>
      <c r="F146" s="45">
        <f t="shared" si="18"/>
        <v>0</v>
      </c>
    </row>
    <row r="147" spans="2:10" x14ac:dyDescent="0.2">
      <c r="C147" s="43">
        <f t="shared" si="18"/>
        <v>18201</v>
      </c>
      <c r="D147" s="43">
        <f t="shared" si="18"/>
        <v>37000</v>
      </c>
      <c r="E147">
        <f t="shared" si="18"/>
        <v>0</v>
      </c>
      <c r="F147" s="45">
        <f t="shared" si="18"/>
        <v>0.19</v>
      </c>
      <c r="G147" s="43">
        <f>IF(G145&gt;'Tax Table'!C147,IF('Tax Table'!D147&gt;G145,(G145-'Tax Table'!C147)*'Tax Table'!F147,('Tax Table'!D147-'Tax Table'!C147)*'Tax Table'!F147))</f>
        <v>3571.81</v>
      </c>
      <c r="H147" s="43">
        <f>IF(H145&gt;'Tax Table'!C147,IF('Tax Table'!D147&gt;H145,(H145-'Tax Table'!C147)*'Tax Table'!F147,('Tax Table'!D147-'Tax Table'!C147)*'Tax Table'!F147))</f>
        <v>3571.81</v>
      </c>
      <c r="I147" s="43">
        <f>IF(I145&gt;'Tax Table'!C147,IF('Tax Table'!D147&gt;I145,(I145-'Tax Table'!C147)*'Tax Table'!F147,('Tax Table'!D147-'Tax Table'!C147)*'Tax Table'!F147),0)</f>
        <v>3571.81</v>
      </c>
      <c r="J147" s="43">
        <f>IF(J145&gt;'Tax Table'!C147,IF('Tax Table'!D147&gt;J145,(J145-'Tax Table'!C147)*'Tax Table'!F147,('Tax Table'!D147-'Tax Table'!C147)*'Tax Table'!F147),0)</f>
        <v>3571.81</v>
      </c>
    </row>
    <row r="148" spans="2:10" x14ac:dyDescent="0.2">
      <c r="C148" s="43">
        <f t="shared" si="18"/>
        <v>37001</v>
      </c>
      <c r="D148" s="43">
        <f t="shared" si="18"/>
        <v>80000</v>
      </c>
      <c r="E148">
        <f t="shared" si="18"/>
        <v>0</v>
      </c>
      <c r="F148" s="45">
        <f t="shared" si="18"/>
        <v>0.32500000000000001</v>
      </c>
      <c r="G148" s="43">
        <f>IF(G145&gt;'Tax Table'!C148,IF('Tax Table'!D148&gt;G145,(G145-'Tax Table'!C148)*'Tax Table'!F148,('Tax Table'!D148-'Tax Table'!C148)*'Tax Table'!F148))</f>
        <v>13974.675000000001</v>
      </c>
      <c r="H148" s="43">
        <f>IF(H145&gt;'Tax Table'!C148,IF('Tax Table'!D148&gt;H145,(H145-'Tax Table'!C148)*'Tax Table'!F148,('Tax Table'!D148-'Tax Table'!C148)*'Tax Table'!F148))</f>
        <v>13974.675000000001</v>
      </c>
      <c r="I148" s="43">
        <f>IF(I145&gt;'Tax Table'!C148,IF('Tax Table'!D148&gt;I145,(I145-'Tax Table'!C148)*'Tax Table'!F148,('Tax Table'!D148-'Tax Table'!C148)*'Tax Table'!F148),0)</f>
        <v>13974.675000000001</v>
      </c>
      <c r="J148" s="43">
        <f>IF(J145&gt;'Tax Table'!C148,IF('Tax Table'!D148&gt;J145,(J145-'Tax Table'!C148)*'Tax Table'!F148,('Tax Table'!D148-'Tax Table'!C148)*'Tax Table'!F148),0)</f>
        <v>13974.675000000001</v>
      </c>
    </row>
    <row r="149" spans="2:10" x14ac:dyDescent="0.2">
      <c r="C149" s="43">
        <f t="shared" si="18"/>
        <v>80001</v>
      </c>
      <c r="D149" s="43">
        <f t="shared" si="18"/>
        <v>180000</v>
      </c>
      <c r="E149">
        <f t="shared" si="18"/>
        <v>0</v>
      </c>
      <c r="F149" s="45">
        <f t="shared" si="18"/>
        <v>0.37</v>
      </c>
      <c r="G149" s="43">
        <f>IF(G145&gt;'Tax Table'!C149,IF('Tax Table'!D149&gt;G145,(G145-'Tax Table'!C149)*'Tax Table'!F149,('Tax Table'!D149-'Tax Table'!C149)*'Tax Table'!F149))</f>
        <v>30449.108506991339</v>
      </c>
      <c r="H149" s="43">
        <f>IF(H145&gt;'Tax Table'!C149,IF('Tax Table'!D149&gt;H145,(H145-'Tax Table'!C149)*'Tax Table'!F149,('Tax Table'!D149-'Tax Table'!C149)*'Tax Table'!F149))</f>
        <v>30790.534010134044</v>
      </c>
      <c r="I149" s="43">
        <f>IF(I145&gt;'Tax Table'!C149,IF('Tax Table'!D149&gt;I145,(I145-'Tax Table'!C149)*'Tax Table'!F149,('Tax Table'!D149-'Tax Table'!C149)*'Tax Table'!F149),0)</f>
        <v>17267.515663993239</v>
      </c>
      <c r="J149" s="43">
        <f>IF(J145&gt;'Tax Table'!C149,IF('Tax Table'!D149&gt;J145,(J145-'Tax Table'!C149)*'Tax Table'!F149,('Tax Table'!D149-'Tax Table'!C149)*'Tax Table'!F149),0)</f>
        <v>17608.941167135945</v>
      </c>
    </row>
    <row r="150" spans="2:10" x14ac:dyDescent="0.2">
      <c r="C150" s="43">
        <f t="shared" si="18"/>
        <v>180001</v>
      </c>
      <c r="D150" s="43">
        <f t="shared" si="18"/>
        <v>0</v>
      </c>
      <c r="E150">
        <f t="shared" si="18"/>
        <v>0</v>
      </c>
      <c r="F150" s="45">
        <f t="shared" si="18"/>
        <v>0.45</v>
      </c>
      <c r="G150" s="43">
        <f>IF(G145&gt;'Tax Table'!C150,(G145-'Tax Table'!C150)*'Tax Table'!F150,0)</f>
        <v>0</v>
      </c>
      <c r="H150" s="43">
        <f>IF(H145&gt;'Tax Table'!C150,(H145-'Tax Table'!C150)*'Tax Table'!F150,0)</f>
        <v>0</v>
      </c>
      <c r="I150" s="43">
        <f>IF(I145&gt;'Tax Table'!C150,(I145-'Tax Table'!C150)*'Tax Table'!F150,0)</f>
        <v>0</v>
      </c>
      <c r="J150" s="43">
        <f>IF(J145&gt;'Tax Table'!C150,(J145-'Tax Table'!C150)*'Tax Table'!F150,0)</f>
        <v>0</v>
      </c>
    </row>
    <row r="151" spans="2:10" x14ac:dyDescent="0.2">
      <c r="B151" t="str">
        <f>B141</f>
        <v>Medicare Surchage</v>
      </c>
      <c r="C151" s="43">
        <f t="shared" si="18"/>
        <v>50000</v>
      </c>
      <c r="D151" s="43" t="str">
        <f t="shared" si="18"/>
        <v>From</v>
      </c>
      <c r="E151">
        <f t="shared" si="18"/>
        <v>0</v>
      </c>
      <c r="F151" s="45">
        <f t="shared" si="18"/>
        <v>0.01</v>
      </c>
      <c r="G151" s="43">
        <f>IF(H144="Yes",IF(G145&gt;C151,(G145-E151)*'Tax Table'!F151,0),0)</f>
        <v>1622.9588785673334</v>
      </c>
      <c r="H151" s="43">
        <f>IF(H144="Yes",IF(H145&gt;C151,(H145-E151)*'Tax Table'!F151,0),0)</f>
        <v>1632.1865948684879</v>
      </c>
      <c r="I151" s="43">
        <f>IF(H144="Yes",IF(I145&gt;C151,(I145-E151)*'Tax Table'!F151,0),0)</f>
        <v>1266.6996125403577</v>
      </c>
      <c r="J151" s="43">
        <f>IF(H144="Yes",IF(J145&gt;C151,(J145-E151)*'Tax Table'!F151,0),0)</f>
        <v>1275.927328841512</v>
      </c>
    </row>
    <row r="152" spans="2:10" x14ac:dyDescent="0.2">
      <c r="B152" t="str">
        <f>B142</f>
        <v>Medicare Levy</v>
      </c>
      <c r="C152" s="43">
        <f t="shared" si="18"/>
        <v>16000</v>
      </c>
      <c r="D152" s="43" t="str">
        <f t="shared" si="18"/>
        <v>From</v>
      </c>
      <c r="E152">
        <f t="shared" si="18"/>
        <v>0</v>
      </c>
      <c r="F152" s="45">
        <f t="shared" si="18"/>
        <v>1.4999999999999999E-2</v>
      </c>
      <c r="G152" s="43">
        <f>IF(G145&gt;C152,(G145-E152)*'Tax Table'!F152,0)</f>
        <v>2434.4383178510002</v>
      </c>
      <c r="H152" s="43">
        <f>IF(H145&gt;C152,(H145-E152)*'Tax Table'!F152,0)</f>
        <v>2448.2798923027317</v>
      </c>
      <c r="I152" s="43">
        <f>IF(I145&gt;C152,(I145-E152)*'Tax Table'!F152,0)</f>
        <v>1900.0494188105365</v>
      </c>
      <c r="J152" s="43">
        <f>IF(J145&gt;C152,(J145-E152)*'Tax Table'!F152,0)</f>
        <v>1913.890993262268</v>
      </c>
    </row>
    <row r="153" spans="2:10" ht="13.5" thickBot="1" x14ac:dyDescent="0.25">
      <c r="G153" s="44">
        <f>SUM(G146:G150)</f>
        <v>47995.593506991339</v>
      </c>
      <c r="H153" s="44">
        <f>SUM(H146:H150)</f>
        <v>48337.019010134041</v>
      </c>
      <c r="I153" s="44">
        <f>SUM(I146:I150)</f>
        <v>34814.00066399324</v>
      </c>
      <c r="J153" s="44">
        <f>SUM(J146:J150)</f>
        <v>35155.426167135942</v>
      </c>
    </row>
    <row r="154" spans="2:10" ht="13.5" thickTop="1" x14ac:dyDescent="0.2"/>
  </sheetData>
  <mergeCells count="2">
    <mergeCell ref="F2:G2"/>
    <mergeCell ref="F1:G1"/>
  </mergeCells>
  <phoneticPr fontId="9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/>
  <dimension ref="A1:E19"/>
  <sheetViews>
    <sheetView workbookViewId="0">
      <selection activeCell="A35" sqref="A35"/>
    </sheetView>
  </sheetViews>
  <sheetFormatPr defaultRowHeight="12.75" x14ac:dyDescent="0.2"/>
  <cols>
    <col min="1" max="1" width="23.5703125" customWidth="1"/>
    <col min="2" max="2" width="14.140625" customWidth="1"/>
  </cols>
  <sheetData>
    <row r="1" spans="1:5" x14ac:dyDescent="0.2">
      <c r="A1" s="30" t="s">
        <v>57</v>
      </c>
      <c r="B1" s="3">
        <f>IF('Input Property 1'!$B$2="ACT",E1,IF('Input Property 1'!$B$2="NSW",E2,IF('Input Property 1'!$B$2="NT",E3,IF('Input Property 1'!$B$2="QLD",E4,IF('Input Property 1'!$B$2="VIC",E5,IF('Input Property 1'!$B$2="WA",E6,IF('Input Property 1'!$B$2="SA",E7,IF('Input Property 1'!$B$2="TAS",E8))))))))</f>
        <v>19660</v>
      </c>
      <c r="C1" s="5"/>
      <c r="D1" s="4" t="s">
        <v>0</v>
      </c>
      <c r="E1" s="24">
        <f>IF('Input Property 1'!$B$3&lt;=0,0,IF('Input Property 1'!$B$3&lt;14000,'Input Property 1'!$B$3*1.25/100,IF('Input Property 1'!$B$3&lt;30000,('Input Property 1'!$B$3-14000)*1.5/100+175,IF('Input Property 1'!$B$3&lt;60000,('Input Property 1'!$B$3-30000)*2/100+415,IF('Input Property 1'!$B$3&lt;100000,('Input Property 1'!$B$3-60000)*2.5/100+1015,IF('Input Property 1'!$B$3&lt;300000,('Input Property 1'!$B$3-100000)*3.5/100+2015,IF('Input Property 1'!$B$3&lt;1000000,('Input Property 1'!$B$3-300000)*4.5/100+9015,IF('Input Property 1'!$B$3&gt;=1000000,('Input Property 1'!$B$3-1000000)*5.5/100+40515,0))))))))</f>
        <v>13515</v>
      </c>
    </row>
    <row r="2" spans="1:5" x14ac:dyDescent="0.2">
      <c r="A2" s="30"/>
      <c r="B2" s="14"/>
      <c r="C2" s="5"/>
      <c r="D2" s="12" t="s">
        <v>1</v>
      </c>
      <c r="E2" s="24">
        <f>IF('Input Property 1'!$B$3&lt;=0,0,IF('Input Property 1'!$B$3&lt;14000,'Input Property 1'!$B$3*1.25/100,IF('Input Property 1'!$B$3&lt;30000,('Input Property 1'!$B$3-14000)*1.5/100+175,IF('Input Property 1'!$B$3&lt;80000,('Input Property 1'!$B$3-30000)*1.75/100+415,IF('Input Property 1'!$B$3&lt;300000,('Input Property 1'!$B$3-80000)*3.5/100+1290,IF('Input Property 1'!$B$3&lt;1000000,('Input Property 1'!$B$3-300000)*4.5/100+8990,IF('Input Property 1'!$B$3&gt;=1000000,('Input Property 1'!$B$3-1000000)*5.5/100+40490,0)))))))</f>
        <v>13490</v>
      </c>
    </row>
    <row r="3" spans="1:5" x14ac:dyDescent="0.2">
      <c r="C3" s="5"/>
      <c r="D3" s="12" t="s">
        <v>2</v>
      </c>
      <c r="E3" s="24">
        <f>IF('Input Property 1'!$B$3&lt;=0,0,IF('Input Property 1'!$B$3&gt;500000,'Input Property 1'!$B$3*0.054,(('Input Property 1'!$B$3/1000)*('Input Property 1'!$B$3/1000)*0.065)+(('Input Property 1'!$B$3/1000)*21)))</f>
        <v>18800</v>
      </c>
    </row>
    <row r="4" spans="1:5" x14ac:dyDescent="0.2">
      <c r="A4" s="5"/>
      <c r="B4" s="3"/>
      <c r="C4" s="5"/>
      <c r="D4" s="13" t="s">
        <v>7</v>
      </c>
      <c r="E4" s="24">
        <f>IF('Input Property 1'!$B$3&lt;=0,0,IF('Input Property 1'!$B$3&lt;20000,'Input Property 1'!$B$3*1.5/100,IF('Input Property 1'!$B$3&lt;50000,('Input Property 1'!$B$3-20000)*2.25/100+300,IF('Input Property 1'!$B$3&lt;100000,('Input Property 1'!$B$3-50000)*2.75/100+975,IF('Input Property 1'!$B$3&lt;250000,('Input Property 1'!$B$3-100000)*3.25/100+2350,IF('Input Property 1'!$B$3&lt;500000,('Input Property 1'!$B$3-250000)*3.5/100+7225,IF('Input Property 1'!$B$3&gt;500000,('Input Property 1'!$B$3-500000)*3.75/100+15975,IF('Input Property 1'!$B$3=500000,15975,0))))))))</f>
        <v>12475</v>
      </c>
    </row>
    <row r="5" spans="1:5" x14ac:dyDescent="0.2">
      <c r="A5" s="1"/>
      <c r="B5" s="3"/>
      <c r="C5" s="5"/>
      <c r="D5" s="13" t="s">
        <v>5</v>
      </c>
      <c r="E5" s="24">
        <f>IF('Input Property 1'!$B$3&lt;=0,0,IF('Input Property 1'!$B$3&lt;20000,'Input Property 1'!$B$3*1.4/100,IF('Input Property 1'!$B$3&lt;115000,('Input Property 1'!$B$3-20000)*2.4/100+280,IF('Input Property 1'!$B$3&lt;870000,('Input Property 1'!$B$3-115000)*6/100+2560,IF('Input Property 1'!$B$3&gt;870000,('Input Property 1'!$B$3-870000)*5.5/100+47860,IF('Input Property 1'!$B$3=870000,47860,0))))))</f>
        <v>19660</v>
      </c>
    </row>
    <row r="6" spans="1:5" x14ac:dyDescent="0.2">
      <c r="A6" s="1"/>
      <c r="B6" s="3"/>
      <c r="C6" s="5"/>
      <c r="D6" s="13" t="s">
        <v>6</v>
      </c>
      <c r="E6" s="24">
        <f>IF('Input Property 1'!$B$3&lt;=0,0,IF('Input Property 1'!$B$3&lt;80000,'Input Property 1'!$B$3*1.95/100,IF('Input Property 1'!$B$3&lt;100000,('Input Property 1'!$B$3-80000)*2.85/100+1560,IF('Input Property 1'!$B$3&lt;250000,('Input Property 1'!$B$3-100000)*3.7/100+2130,IF('Input Property 1'!$B$3&lt;500000,('Input Property 1'!$B$3-250000)*4.55/100+7680,IF('Input Property 1'!$B$3&lt;1000000,('Input Property 1'!$B$3-500000)*4.85/100+19055,IF('Input Property 1'!$B$3=1000000,19055,0)))))))</f>
        <v>14505</v>
      </c>
    </row>
    <row r="7" spans="1:5" x14ac:dyDescent="0.2">
      <c r="A7" s="1"/>
      <c r="B7" s="3"/>
      <c r="C7" s="1"/>
      <c r="D7" s="7" t="s">
        <v>3</v>
      </c>
      <c r="E7" s="24">
        <f>IF('Input Property 1'!$B$3&lt;100000,('Input Property 1'!$B$3-50000)*3.5/100+1080,IF('Input Property 1'!$B$3&lt;1000000,('Input Property 1'!$B$3-100000)*4/100+2830,IF('Input Property 1'!$B$3&gt;1000000,('Input Property 1'!$B$3-1000000)*4.5/100+38830,IF('Input Property 1'!$B$3=1000000,38830,0))))</f>
        <v>14830</v>
      </c>
    </row>
    <row r="8" spans="1:5" x14ac:dyDescent="0.2">
      <c r="A8" s="30"/>
      <c r="B8" s="31"/>
      <c r="C8" s="1"/>
      <c r="D8" s="4" t="s">
        <v>4</v>
      </c>
      <c r="E8" s="24">
        <f>IF('Input Property 1'!$B$3&lt;75000,('Input Property 1'!$B$3-30000)*2.5/100+550,IF('Input Property 1'!$B$3&lt;150000,('Input Property 1'!$B$3-75000)*3/100+1675,IF('Input Property 1'!$B$3&lt;225000,('Input Property 1'!$B$3-150000)*3.5/100+3925,IF('Input Property 1'!$B$3&gt;225000,('Input Property 1'!$B$3-225000)*4/100+6550,IF('Input Property 1'!$B$3=225000,6550,0)))))</f>
        <v>13550</v>
      </c>
    </row>
    <row r="9" spans="1:5" x14ac:dyDescent="0.2">
      <c r="A9" s="40"/>
      <c r="B9" s="41"/>
      <c r="C9" s="40"/>
      <c r="D9" s="40"/>
      <c r="E9" s="24"/>
    </row>
    <row r="10" spans="1:5" x14ac:dyDescent="0.2">
      <c r="A10" s="9" t="s">
        <v>9</v>
      </c>
      <c r="B10" s="3">
        <f>IF('Input Property 1'!$B$2="ACT",E10,IF('Input Property 1'!$B$2="NSW",E11,IF('Input Property 1'!$B$2="NT",E12,IF('Input Property 1'!$B$2="QLD",E13,IF('Input Property 1'!$B$2="VIC",E14,IF('Input Property 1'!$B$2="WA",E15,IF('Input Property 1'!$B$2="SA",E16,IF('Input Property 1'!$B$2="TAS",E17))))))))</f>
        <v>1410</v>
      </c>
      <c r="C10" s="40"/>
      <c r="D10" s="12" t="s">
        <v>0</v>
      </c>
      <c r="E10" s="24">
        <f>0</f>
        <v>0</v>
      </c>
    </row>
    <row r="11" spans="1:5" x14ac:dyDescent="0.2">
      <c r="A11" s="40"/>
      <c r="B11" s="41"/>
      <c r="C11" s="40"/>
      <c r="D11" s="12" t="s">
        <v>1</v>
      </c>
      <c r="E11" s="24">
        <f>IF('Input Property 1'!$B$14&lt;1,0,IF('Input Property 1'!$B$14&lt;=16000,5,IF('Input Property 1'!$B$14&gt;16000,5+(('Input Property 1'!$B$14-16000)*0.004),0)))</f>
        <v>1387</v>
      </c>
    </row>
    <row r="12" spans="1:5" x14ac:dyDescent="0.2">
      <c r="C12" s="40"/>
      <c r="D12" s="13" t="s">
        <v>2</v>
      </c>
      <c r="E12" s="24">
        <f>0</f>
        <v>0</v>
      </c>
    </row>
    <row r="13" spans="1:5" x14ac:dyDescent="0.2">
      <c r="A13" s="40"/>
      <c r="B13" s="3"/>
      <c r="C13" s="40"/>
      <c r="D13" s="13" t="s">
        <v>7</v>
      </c>
      <c r="E13" s="24">
        <f>IF('Input Property 1'!$B$14&gt;1,'Input Property 1'!$B$14*0.4/100,0)</f>
        <v>1446</v>
      </c>
    </row>
    <row r="14" spans="1:5" x14ac:dyDescent="0.2">
      <c r="A14" s="40"/>
      <c r="B14" s="3"/>
      <c r="C14" s="40"/>
      <c r="D14" s="13" t="s">
        <v>5</v>
      </c>
      <c r="E14" s="24">
        <f>IF('Input Property 1'!$B$14&lt;1,0,IF('Input Property 1'!$B$14&lt;=10000,4,IF('Input Property 1'!$B$14&gt;10000,4+(('Input Property 1'!$B$14-10000)*0.8/200),0)))</f>
        <v>1410</v>
      </c>
    </row>
    <row r="15" spans="1:5" x14ac:dyDescent="0.2">
      <c r="A15" s="42"/>
      <c r="B15" s="3"/>
      <c r="C15" s="40"/>
      <c r="D15" s="13" t="s">
        <v>6</v>
      </c>
      <c r="E15" s="24">
        <f>IF('Input Property 1'!$B$14&lt;1,0,'Input Property 1'!$B$14*0.0025)</f>
        <v>903.75</v>
      </c>
    </row>
    <row r="16" spans="1:5" x14ac:dyDescent="0.2">
      <c r="A16" s="40"/>
      <c r="B16" s="3"/>
      <c r="C16" s="40"/>
      <c r="D16" s="6" t="s">
        <v>3</v>
      </c>
      <c r="E16" s="24">
        <f>IF('Input Property 1'!$B$14&lt;=400,0,IF('Input Property 1'!$B$14&lt;=4000,10,IF('Input Property 1'!$B$14&lt;=10000,10+(('Input Property 1'!$B$14-4000)*0.25/100),IF('Input Property 1'!$B$14&gt;10000,25+(('Input Property 1'!$B$14-10000)*0.35/100),0))))</f>
        <v>1255.2499999999998</v>
      </c>
    </row>
    <row r="17" spans="1:5" x14ac:dyDescent="0.2">
      <c r="A17" s="1"/>
      <c r="B17" s="3"/>
      <c r="C17" s="40"/>
      <c r="D17" s="6" t="s">
        <v>4</v>
      </c>
      <c r="E17" s="24">
        <f>IF('Input Property 1'!$B$14&lt;1,0,IF('Input Property 1'!$B$14&lt;8000,20,IF('Input Property 1'!$B$14&lt;10000,20+(('Input Property 1'!$B$14-8000)*0.25/100),IF('Input Property 1'!$B$14&gt;10000,25+(('Input Property 1'!$B$14-10000)*0.35/100),0))))</f>
        <v>1255.2499999999998</v>
      </c>
    </row>
    <row r="19" spans="1:5" x14ac:dyDescent="0.2">
      <c r="B19" s="128"/>
    </row>
  </sheetData>
  <phoneticPr fontId="9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Q237"/>
  <sheetViews>
    <sheetView tabSelected="1" topLeftCell="A199" zoomScale="90" zoomScaleNormal="90" workbookViewId="0">
      <selection activeCell="L234" sqref="L234"/>
    </sheetView>
  </sheetViews>
  <sheetFormatPr defaultColWidth="9.140625" defaultRowHeight="12.75" outlineLevelRow="1" x14ac:dyDescent="0.2"/>
  <cols>
    <col min="1" max="1" width="23.85546875" style="46" customWidth="1"/>
    <col min="2" max="2" width="13.85546875" style="46" customWidth="1"/>
    <col min="3" max="3" width="12.140625" style="341" bestFit="1" customWidth="1"/>
    <col min="4" max="17" width="12.140625" style="46" bestFit="1" customWidth="1"/>
    <col min="18" max="16384" width="9.140625" style="46"/>
  </cols>
  <sheetData>
    <row r="1" spans="1:17" x14ac:dyDescent="0.2">
      <c r="A1" s="76" t="s">
        <v>248</v>
      </c>
      <c r="B1" s="76"/>
      <c r="C1" s="282">
        <v>1</v>
      </c>
      <c r="D1" s="258">
        <v>2</v>
      </c>
      <c r="E1" s="258">
        <v>3</v>
      </c>
      <c r="F1" s="258">
        <v>4</v>
      </c>
      <c r="G1" s="258">
        <v>5</v>
      </c>
      <c r="H1" s="258">
        <v>6</v>
      </c>
      <c r="I1" s="258">
        <v>7</v>
      </c>
      <c r="J1" s="258">
        <v>8</v>
      </c>
      <c r="K1" s="258">
        <v>9</v>
      </c>
      <c r="L1" s="258">
        <v>10</v>
      </c>
      <c r="M1" s="258">
        <v>11</v>
      </c>
      <c r="N1" s="258">
        <v>12</v>
      </c>
      <c r="O1" s="258">
        <v>13</v>
      </c>
      <c r="P1" s="258">
        <v>14</v>
      </c>
      <c r="Q1" s="256">
        <v>15</v>
      </c>
    </row>
    <row r="2" spans="1:17" ht="15.75" x14ac:dyDescent="0.25">
      <c r="A2" s="120" t="s">
        <v>247</v>
      </c>
      <c r="B2" s="120"/>
      <c r="C2" s="283">
        <f>'Data Property 1'!C161</f>
        <v>43646</v>
      </c>
      <c r="D2" s="259">
        <f>'Data Property 1'!D161</f>
        <v>44012</v>
      </c>
      <c r="E2" s="259">
        <f>'Data Property 1'!E161</f>
        <v>44377</v>
      </c>
      <c r="F2" s="259">
        <f>'Data Property 1'!F161</f>
        <v>44742</v>
      </c>
      <c r="G2" s="259">
        <f>'Data Property 1'!G161</f>
        <v>45107</v>
      </c>
      <c r="H2" s="259">
        <f>'Data Property 1'!H161</f>
        <v>45473</v>
      </c>
      <c r="I2" s="259">
        <f>'Data Property 1'!I161</f>
        <v>45838</v>
      </c>
      <c r="J2" s="259">
        <f>'Data Property 1'!J161</f>
        <v>46203</v>
      </c>
      <c r="K2" s="259">
        <f>'Data Property 1'!K161</f>
        <v>46568</v>
      </c>
      <c r="L2" s="259">
        <f>'Data Property 1'!L161</f>
        <v>46934</v>
      </c>
      <c r="M2" s="259">
        <f>'Data Property 1'!M161</f>
        <v>47299</v>
      </c>
      <c r="N2" s="259">
        <f>'Data Property 1'!N161</f>
        <v>47664</v>
      </c>
      <c r="O2" s="259">
        <f>'Data Property 1'!O161</f>
        <v>48029</v>
      </c>
      <c r="P2" s="259">
        <f>'Data Property 1'!P161</f>
        <v>48395</v>
      </c>
      <c r="Q2" s="257">
        <f>'Data Property 1'!Q161</f>
        <v>48760</v>
      </c>
    </row>
    <row r="3" spans="1:17" x14ac:dyDescent="0.2">
      <c r="A3" s="73" t="s">
        <v>120</v>
      </c>
      <c r="B3" s="342"/>
      <c r="C3" s="28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</row>
    <row r="4" spans="1:17" x14ac:dyDescent="0.2">
      <c r="A4" s="83" t="str">
        <f>'Data Property 1'!$A$167</f>
        <v>Interest Loan 1</v>
      </c>
      <c r="B4" s="60"/>
      <c r="C4" s="285">
        <f>-'Data Property 1'!C167</f>
        <v>-849.41457534246581</v>
      </c>
      <c r="D4" s="84">
        <f>-'Data Property 1'!D167</f>
        <v>-13516.771068493152</v>
      </c>
      <c r="E4" s="84">
        <f>-'Data Property 1'!E167</f>
        <v>-13479.84</v>
      </c>
      <c r="F4" s="84">
        <f>-'Data Property 1'!F167</f>
        <v>-13479.84</v>
      </c>
      <c r="G4" s="84">
        <f>-'Data Property 1'!G167</f>
        <v>-13479.84</v>
      </c>
      <c r="H4" s="84">
        <f>-'Data Property 1'!H167</f>
        <v>-13516.771068493152</v>
      </c>
      <c r="I4" s="84">
        <f>-'Data Property 1'!I167</f>
        <v>-13479.84</v>
      </c>
      <c r="J4" s="84">
        <f>-'Data Property 1'!J167</f>
        <v>-13479.84</v>
      </c>
      <c r="K4" s="84">
        <f>-'Data Property 1'!K167</f>
        <v>-13479.84</v>
      </c>
      <c r="L4" s="84">
        <f>-'Data Property 1'!L167</f>
        <v>-13516.771068493152</v>
      </c>
      <c r="M4" s="84">
        <f>-'Data Property 1'!M167</f>
        <v>-13479.84</v>
      </c>
      <c r="N4" s="84">
        <f>-'Data Property 1'!N167</f>
        <v>-13479.84</v>
      </c>
      <c r="O4" s="84">
        <f>-'Data Property 1'!O167</f>
        <v>-13479.84</v>
      </c>
      <c r="P4" s="84">
        <f>-'Data Property 1'!P167</f>
        <v>-13516.771068493152</v>
      </c>
      <c r="Q4" s="84">
        <f>-'Data Property 1'!Q167</f>
        <v>-13479.84</v>
      </c>
    </row>
    <row r="5" spans="1:17" x14ac:dyDescent="0.2">
      <c r="A5" s="85" t="str">
        <f>'Data Property 1'!$A$168</f>
        <v>Interest Loan 2</v>
      </c>
      <c r="B5" s="60"/>
      <c r="C5" s="285">
        <f>-'Data Property 1'!C168</f>
        <v>0</v>
      </c>
      <c r="D5" s="84">
        <f>-'Data Property 1'!D168</f>
        <v>0</v>
      </c>
      <c r="E5" s="84">
        <f>-'Data Property 1'!E168</f>
        <v>0</v>
      </c>
      <c r="F5" s="84">
        <f>-'Data Property 1'!F168</f>
        <v>0</v>
      </c>
      <c r="G5" s="84">
        <f>-'Data Property 1'!G168</f>
        <v>0</v>
      </c>
      <c r="H5" s="84">
        <f>-'Data Property 1'!H168</f>
        <v>0</v>
      </c>
      <c r="I5" s="84">
        <f>-'Data Property 1'!I168</f>
        <v>0</v>
      </c>
      <c r="J5" s="84">
        <f>-'Data Property 1'!J168</f>
        <v>0</v>
      </c>
      <c r="K5" s="84">
        <f>-'Data Property 1'!K168</f>
        <v>0</v>
      </c>
      <c r="L5" s="84">
        <f>-'Data Property 1'!L168</f>
        <v>0</v>
      </c>
      <c r="M5" s="84">
        <f>-'Data Property 1'!M168</f>
        <v>0</v>
      </c>
      <c r="N5" s="84">
        <f>-'Data Property 1'!N168</f>
        <v>0</v>
      </c>
      <c r="O5" s="84">
        <f>-'Data Property 1'!O168</f>
        <v>0</v>
      </c>
      <c r="P5" s="84">
        <f>-'Data Property 1'!P168</f>
        <v>0</v>
      </c>
      <c r="Q5" s="84">
        <f>-'Data Property 1'!Q168</f>
        <v>0</v>
      </c>
    </row>
    <row r="6" spans="1:17" hidden="1" outlineLevel="1" x14ac:dyDescent="0.2">
      <c r="A6" s="85" t="str">
        <f>'Data Property 1'!$A$169</f>
        <v>Property Management</v>
      </c>
      <c r="B6" s="60"/>
      <c r="C6" s="285">
        <f>-'Data Property 1'!C169</f>
        <v>-29.700000000000006</v>
      </c>
      <c r="D6" s="84">
        <f>-'Data Property 1'!D169</f>
        <v>-1202.2560000000001</v>
      </c>
      <c r="E6" s="84">
        <f>-'Data Property 1'!E169</f>
        <v>-1240.7999174999998</v>
      </c>
      <c r="F6" s="84">
        <f>-'Data Property 1'!F169</f>
        <v>-1284.2279146124997</v>
      </c>
      <c r="G6" s="84">
        <f>-'Data Property 1'!G169</f>
        <v>-1329.1758916239373</v>
      </c>
      <c r="H6" s="84">
        <f>-'Data Property 1'!H169</f>
        <v>-1379.6164126394094</v>
      </c>
      <c r="I6" s="84">
        <f>-'Data Property 1'!I169</f>
        <v>-1423.8464445048521</v>
      </c>
      <c r="J6" s="84">
        <f>-'Data Property 1'!J169</f>
        <v>-1473.6810700625217</v>
      </c>
      <c r="K6" s="84">
        <f>-'Data Property 1'!K169</f>
        <v>-1525.25990751471</v>
      </c>
      <c r="L6" s="84">
        <f>-'Data Property 1'!L169</f>
        <v>-1583.141565543473</v>
      </c>
      <c r="M6" s="84">
        <f>-'Data Property 1'!M169</f>
        <v>-1633.896544427445</v>
      </c>
      <c r="N6" s="84">
        <f>-'Data Property 1'!N169</f>
        <v>-1691.0829234824055</v>
      </c>
      <c r="O6" s="84">
        <f>-'Data Property 1'!O169</f>
        <v>-1750.2708258042894</v>
      </c>
      <c r="P6" s="84">
        <f>-'Data Property 1'!P169</f>
        <v>-1816.6913597066057</v>
      </c>
      <c r="Q6" s="84">
        <f>-'Data Property 1'!Q169</f>
        <v>-1874.9338653721998</v>
      </c>
    </row>
    <row r="7" spans="1:17" hidden="1" outlineLevel="1" x14ac:dyDescent="0.2">
      <c r="A7" s="85" t="str">
        <f>'Data Property 1'!$A$170</f>
        <v>Letting Fee</v>
      </c>
      <c r="B7" s="60"/>
      <c r="C7" s="285">
        <f>-'Data Property 1'!C170</f>
        <v>-330</v>
      </c>
      <c r="D7" s="84">
        <f>-'Data Property 1'!D170</f>
        <v>-341.54999999999995</v>
      </c>
      <c r="E7" s="84">
        <f>-'Data Property 1'!E170</f>
        <v>-353.5042499999999</v>
      </c>
      <c r="F7" s="84">
        <f>-'Data Property 1'!F170</f>
        <v>-365.8768987499999</v>
      </c>
      <c r="G7" s="84">
        <f>-'Data Property 1'!G170</f>
        <v>-378.68259020624987</v>
      </c>
      <c r="H7" s="84">
        <f>-'Data Property 1'!H170</f>
        <v>-391.9364808634686</v>
      </c>
      <c r="I7" s="84">
        <f>-'Data Property 1'!I170</f>
        <v>-405.65425769369</v>
      </c>
      <c r="J7" s="84">
        <f>-'Data Property 1'!J170</f>
        <v>-419.85215671296913</v>
      </c>
      <c r="K7" s="84">
        <f>-'Data Property 1'!K170</f>
        <v>-434.546982197923</v>
      </c>
      <c r="L7" s="84">
        <f>-'Data Property 1'!L170</f>
        <v>-449.75612657485027</v>
      </c>
      <c r="M7" s="84">
        <f>-'Data Property 1'!M170</f>
        <v>-465.49759100496999</v>
      </c>
      <c r="N7" s="84">
        <f>-'Data Property 1'!N170</f>
        <v>-481.79000669014391</v>
      </c>
      <c r="O7" s="84">
        <f>-'Data Property 1'!O170</f>
        <v>-498.65265692429892</v>
      </c>
      <c r="P7" s="84">
        <f>-'Data Property 1'!P170</f>
        <v>-516.10549991664936</v>
      </c>
      <c r="Q7" s="84">
        <f>-'Data Property 1'!Q170</f>
        <v>-534.16919241373205</v>
      </c>
    </row>
    <row r="8" spans="1:17" hidden="1" outlineLevel="1" x14ac:dyDescent="0.2">
      <c r="A8" s="85" t="str">
        <f>'Data Property 1'!$A$171</f>
        <v>Insurance</v>
      </c>
      <c r="B8" s="60"/>
      <c r="C8" s="285">
        <f>-'Data Property 1'!C171</f>
        <v>-63.013698630136993</v>
      </c>
      <c r="D8" s="84">
        <f>-'Data Property 1'!D171</f>
        <v>-1025</v>
      </c>
      <c r="E8" s="84">
        <f>-'Data Property 1'!E171</f>
        <v>-1050.625</v>
      </c>
      <c r="F8" s="84">
        <f>-'Data Property 1'!F171</f>
        <v>-1076.890625</v>
      </c>
      <c r="G8" s="84">
        <f>-'Data Property 1'!G171</f>
        <v>-1103.8128906249999</v>
      </c>
      <c r="H8" s="84">
        <f>-'Data Property 1'!H171</f>
        <v>-1131.4082128906248</v>
      </c>
      <c r="I8" s="84">
        <f>-'Data Property 1'!I171</f>
        <v>-1159.6934182128903</v>
      </c>
      <c r="J8" s="84">
        <f>-'Data Property 1'!J171</f>
        <v>-1188.6857536682123</v>
      </c>
      <c r="K8" s="84">
        <f>-'Data Property 1'!K171</f>
        <v>-1218.4028975099175</v>
      </c>
      <c r="L8" s="84">
        <f>-'Data Property 1'!L171</f>
        <v>-1248.8629699476653</v>
      </c>
      <c r="M8" s="84">
        <f>-'Data Property 1'!M171</f>
        <v>-1280.0845441963568</v>
      </c>
      <c r="N8" s="84">
        <f>-'Data Property 1'!N171</f>
        <v>-1312.0866578012656</v>
      </c>
      <c r="O8" s="84">
        <f>-'Data Property 1'!O171</f>
        <v>-1344.8888242462972</v>
      </c>
      <c r="P8" s="84">
        <f>-'Data Property 1'!P171</f>
        <v>-1378.5110448524545</v>
      </c>
      <c r="Q8" s="84">
        <f>-'Data Property 1'!Q171</f>
        <v>-1412.9738209737657</v>
      </c>
    </row>
    <row r="9" spans="1:17" hidden="1" outlineLevel="1" x14ac:dyDescent="0.2">
      <c r="A9" s="85" t="str">
        <f>'Data Property 1'!$A$172</f>
        <v>Maintenance</v>
      </c>
      <c r="B9" s="60"/>
      <c r="C9" s="285">
        <f>-'Data Property 1'!C172</f>
        <v>-31.506849315068497</v>
      </c>
      <c r="D9" s="84">
        <f>-'Data Property 1'!D172</f>
        <v>-512.5</v>
      </c>
      <c r="E9" s="84">
        <f>-'Data Property 1'!E172</f>
        <v>-525.3125</v>
      </c>
      <c r="F9" s="84">
        <f>-'Data Property 1'!F172</f>
        <v>-538.4453125</v>
      </c>
      <c r="G9" s="84">
        <f>-'Data Property 1'!G172</f>
        <v>-551.90644531249995</v>
      </c>
      <c r="H9" s="84">
        <f>-'Data Property 1'!H172</f>
        <v>-565.70410644531239</v>
      </c>
      <c r="I9" s="84">
        <f>-'Data Property 1'!I172</f>
        <v>-579.84670910644513</v>
      </c>
      <c r="J9" s="84">
        <f>-'Data Property 1'!J172</f>
        <v>-594.34287683410616</v>
      </c>
      <c r="K9" s="84">
        <f>-'Data Property 1'!K172</f>
        <v>-609.20144875495873</v>
      </c>
      <c r="L9" s="84">
        <f>-'Data Property 1'!L172</f>
        <v>-624.43148497383265</v>
      </c>
      <c r="M9" s="84">
        <f>-'Data Property 1'!M172</f>
        <v>-640.04227209817839</v>
      </c>
      <c r="N9" s="84">
        <f>-'Data Property 1'!N172</f>
        <v>-656.04332890063279</v>
      </c>
      <c r="O9" s="84">
        <f>-'Data Property 1'!O172</f>
        <v>-672.4444121231486</v>
      </c>
      <c r="P9" s="84">
        <f>-'Data Property 1'!P172</f>
        <v>-689.25552242622723</v>
      </c>
      <c r="Q9" s="84">
        <f>-'Data Property 1'!Q172</f>
        <v>-706.48691048688283</v>
      </c>
    </row>
    <row r="10" spans="1:17" hidden="1" outlineLevel="1" x14ac:dyDescent="0.2">
      <c r="A10" s="85" t="str">
        <f>'Data Property 1'!$A$173</f>
        <v>Strata</v>
      </c>
      <c r="B10" s="60"/>
      <c r="C10" s="285">
        <f>-'Data Property 1'!C173</f>
        <v>0</v>
      </c>
      <c r="D10" s="84">
        <f>-'Data Property 1'!D173</f>
        <v>0</v>
      </c>
      <c r="E10" s="84">
        <f>-'Data Property 1'!E173</f>
        <v>0</v>
      </c>
      <c r="F10" s="84">
        <f>-'Data Property 1'!F173</f>
        <v>0</v>
      </c>
      <c r="G10" s="84">
        <f>-'Data Property 1'!G173</f>
        <v>0</v>
      </c>
      <c r="H10" s="84">
        <f>-'Data Property 1'!H173</f>
        <v>0</v>
      </c>
      <c r="I10" s="84">
        <f>-'Data Property 1'!I173</f>
        <v>0</v>
      </c>
      <c r="J10" s="84">
        <f>-'Data Property 1'!J173</f>
        <v>0</v>
      </c>
      <c r="K10" s="84">
        <f>-'Data Property 1'!K173</f>
        <v>0</v>
      </c>
      <c r="L10" s="84">
        <f>-'Data Property 1'!L173</f>
        <v>0</v>
      </c>
      <c r="M10" s="84">
        <f>-'Data Property 1'!M173</f>
        <v>0</v>
      </c>
      <c r="N10" s="84">
        <f>-'Data Property 1'!N173</f>
        <v>0</v>
      </c>
      <c r="O10" s="84">
        <f>-'Data Property 1'!O173</f>
        <v>0</v>
      </c>
      <c r="P10" s="84">
        <f>-'Data Property 1'!P173</f>
        <v>0</v>
      </c>
      <c r="Q10" s="84">
        <f>-'Data Property 1'!Q173</f>
        <v>0</v>
      </c>
    </row>
    <row r="11" spans="1:17" hidden="1" outlineLevel="1" x14ac:dyDescent="0.2">
      <c r="A11" s="85" t="str">
        <f>'Data Property 1'!$A$174</f>
        <v>Water Charges</v>
      </c>
      <c r="B11" s="60"/>
      <c r="C11" s="285">
        <f>-'Data Property 1'!C174</f>
        <v>-37.808219178082197</v>
      </c>
      <c r="D11" s="84">
        <f>-'Data Property 1'!D174</f>
        <v>-615</v>
      </c>
      <c r="E11" s="84">
        <f>-'Data Property 1'!E174</f>
        <v>-630.375</v>
      </c>
      <c r="F11" s="84">
        <f>-'Data Property 1'!F174</f>
        <v>-646.13437499999998</v>
      </c>
      <c r="G11" s="84">
        <f>-'Data Property 1'!G174</f>
        <v>-662.28773437500001</v>
      </c>
      <c r="H11" s="84">
        <f>-'Data Property 1'!H174</f>
        <v>-678.84492773437501</v>
      </c>
      <c r="I11" s="84">
        <f>-'Data Property 1'!I174</f>
        <v>-695.81605092773441</v>
      </c>
      <c r="J11" s="84">
        <f>-'Data Property 1'!J174</f>
        <v>-713.21145220092774</v>
      </c>
      <c r="K11" s="84">
        <f>-'Data Property 1'!K174</f>
        <v>-731.04173850595089</v>
      </c>
      <c r="L11" s="84">
        <f>-'Data Property 1'!L174</f>
        <v>-749.31778196859966</v>
      </c>
      <c r="M11" s="84">
        <f>-'Data Property 1'!M174</f>
        <v>-768.05072651781461</v>
      </c>
      <c r="N11" s="84">
        <f>-'Data Property 1'!N174</f>
        <v>-787.25199468075994</v>
      </c>
      <c r="O11" s="84">
        <f>-'Data Property 1'!O174</f>
        <v>-806.93329454777893</v>
      </c>
      <c r="P11" s="84">
        <f>-'Data Property 1'!P174</f>
        <v>-827.10662691147343</v>
      </c>
      <c r="Q11" s="84">
        <f>-'Data Property 1'!Q174</f>
        <v>-847.78429258426024</v>
      </c>
    </row>
    <row r="12" spans="1:17" hidden="1" outlineLevel="1" x14ac:dyDescent="0.2">
      <c r="A12" s="85" t="str">
        <f>'Data Property 1'!$A$175</f>
        <v>Cleaning</v>
      </c>
      <c r="B12" s="60"/>
      <c r="C12" s="285">
        <f>-'Data Property 1'!C175</f>
        <v>0</v>
      </c>
      <c r="D12" s="84">
        <f>-'Data Property 1'!D175</f>
        <v>0</v>
      </c>
      <c r="E12" s="84">
        <f>-'Data Property 1'!E175</f>
        <v>0</v>
      </c>
      <c r="F12" s="84">
        <f>-'Data Property 1'!F175</f>
        <v>0</v>
      </c>
      <c r="G12" s="84">
        <f>-'Data Property 1'!G175</f>
        <v>0</v>
      </c>
      <c r="H12" s="84">
        <f>-'Data Property 1'!H175</f>
        <v>0</v>
      </c>
      <c r="I12" s="84">
        <f>-'Data Property 1'!I175</f>
        <v>0</v>
      </c>
      <c r="J12" s="84">
        <f>-'Data Property 1'!J175</f>
        <v>0</v>
      </c>
      <c r="K12" s="84">
        <f>-'Data Property 1'!K175</f>
        <v>0</v>
      </c>
      <c r="L12" s="84">
        <f>-'Data Property 1'!L175</f>
        <v>0</v>
      </c>
      <c r="M12" s="84">
        <f>-'Data Property 1'!M175</f>
        <v>0</v>
      </c>
      <c r="N12" s="84">
        <f>-'Data Property 1'!N175</f>
        <v>0</v>
      </c>
      <c r="O12" s="84">
        <f>-'Data Property 1'!O175</f>
        <v>0</v>
      </c>
      <c r="P12" s="84">
        <f>-'Data Property 1'!P175</f>
        <v>0</v>
      </c>
      <c r="Q12" s="84">
        <f>-'Data Property 1'!Q175</f>
        <v>0</v>
      </c>
    </row>
    <row r="13" spans="1:17" hidden="1" outlineLevel="1" x14ac:dyDescent="0.2">
      <c r="A13" s="85" t="str">
        <f>'Data Property 1'!$A$176</f>
        <v>Council Rates</v>
      </c>
      <c r="B13" s="60"/>
      <c r="C13" s="285">
        <f>-'Data Property 1'!C176</f>
        <v>-100.82191780821918</v>
      </c>
      <c r="D13" s="84">
        <f>-'Data Property 1'!D176</f>
        <v>-1640</v>
      </c>
      <c r="E13" s="84">
        <f>-'Data Property 1'!E176</f>
        <v>-1681</v>
      </c>
      <c r="F13" s="84">
        <f>-'Data Property 1'!F176</f>
        <v>-1723.0250000000001</v>
      </c>
      <c r="G13" s="84">
        <f>-'Data Property 1'!G176</f>
        <v>-1766.100625</v>
      </c>
      <c r="H13" s="84">
        <f>-'Data Property 1'!H176</f>
        <v>-1810.253140625</v>
      </c>
      <c r="I13" s="84">
        <f>-'Data Property 1'!I176</f>
        <v>-1855.509469140625</v>
      </c>
      <c r="J13" s="84">
        <f>-'Data Property 1'!J176</f>
        <v>-1901.8972058691406</v>
      </c>
      <c r="K13" s="84">
        <f>-'Data Property 1'!K176</f>
        <v>-1949.444636015869</v>
      </c>
      <c r="L13" s="84">
        <f>-'Data Property 1'!L176</f>
        <v>-1998.1807519162658</v>
      </c>
      <c r="M13" s="84">
        <f>-'Data Property 1'!M176</f>
        <v>-2048.1352707141723</v>
      </c>
      <c r="N13" s="84">
        <f>-'Data Property 1'!N176</f>
        <v>-2099.3386524820266</v>
      </c>
      <c r="O13" s="84">
        <f>-'Data Property 1'!O176</f>
        <v>-2151.8221187940771</v>
      </c>
      <c r="P13" s="84">
        <f>-'Data Property 1'!P176</f>
        <v>-2205.6176717639291</v>
      </c>
      <c r="Q13" s="84">
        <f>-'Data Property 1'!Q176</f>
        <v>-2260.7581135580272</v>
      </c>
    </row>
    <row r="14" spans="1:17" hidden="1" outlineLevel="1" x14ac:dyDescent="0.2">
      <c r="A14" s="85" t="str">
        <f>'Data Property 1'!$A$177</f>
        <v>Gardening / Mowing</v>
      </c>
      <c r="B14" s="60"/>
      <c r="C14" s="285">
        <f>-'Data Property 1'!C177</f>
        <v>0</v>
      </c>
      <c r="D14" s="84">
        <f>-'Data Property 1'!D177</f>
        <v>0</v>
      </c>
      <c r="E14" s="84">
        <f>-'Data Property 1'!E177</f>
        <v>0</v>
      </c>
      <c r="F14" s="84">
        <f>-'Data Property 1'!F177</f>
        <v>0</v>
      </c>
      <c r="G14" s="84">
        <f>-'Data Property 1'!G177</f>
        <v>0</v>
      </c>
      <c r="H14" s="84">
        <f>-'Data Property 1'!H177</f>
        <v>0</v>
      </c>
      <c r="I14" s="84">
        <f>-'Data Property 1'!I177</f>
        <v>0</v>
      </c>
      <c r="J14" s="84">
        <f>-'Data Property 1'!J177</f>
        <v>0</v>
      </c>
      <c r="K14" s="84">
        <f>-'Data Property 1'!K177</f>
        <v>0</v>
      </c>
      <c r="L14" s="84">
        <f>-'Data Property 1'!L177</f>
        <v>0</v>
      </c>
      <c r="M14" s="84">
        <f>-'Data Property 1'!M177</f>
        <v>0</v>
      </c>
      <c r="N14" s="84">
        <f>-'Data Property 1'!N177</f>
        <v>0</v>
      </c>
      <c r="O14" s="84">
        <f>-'Data Property 1'!O177</f>
        <v>0</v>
      </c>
      <c r="P14" s="84">
        <f>-'Data Property 1'!P177</f>
        <v>0</v>
      </c>
      <c r="Q14" s="84">
        <f>-'Data Property 1'!Q177</f>
        <v>0</v>
      </c>
    </row>
    <row r="15" spans="1:17" hidden="1" outlineLevel="1" x14ac:dyDescent="0.2">
      <c r="A15" s="85" t="str">
        <f>'Data Property 1'!$A$178</f>
        <v>Land Tax</v>
      </c>
      <c r="B15" s="60"/>
      <c r="C15" s="285">
        <f>-'Data Property 1'!C178</f>
        <v>0</v>
      </c>
      <c r="D15" s="84">
        <f>-'Data Property 1'!D178</f>
        <v>0</v>
      </c>
      <c r="E15" s="84">
        <f>-'Data Property 1'!E178</f>
        <v>0</v>
      </c>
      <c r="F15" s="84">
        <f>-'Data Property 1'!F178</f>
        <v>0</v>
      </c>
      <c r="G15" s="84">
        <f>-'Data Property 1'!G178</f>
        <v>0</v>
      </c>
      <c r="H15" s="84">
        <f>-'Data Property 1'!H178</f>
        <v>0</v>
      </c>
      <c r="I15" s="84">
        <f>-'Data Property 1'!I178</f>
        <v>0</v>
      </c>
      <c r="J15" s="84">
        <f>-'Data Property 1'!J178</f>
        <v>0</v>
      </c>
      <c r="K15" s="84">
        <f>-'Data Property 1'!K178</f>
        <v>0</v>
      </c>
      <c r="L15" s="84">
        <f>-'Data Property 1'!L178</f>
        <v>0</v>
      </c>
      <c r="M15" s="84">
        <f>-'Data Property 1'!M178</f>
        <v>0</v>
      </c>
      <c r="N15" s="84">
        <f>-'Data Property 1'!N178</f>
        <v>0</v>
      </c>
      <c r="O15" s="84">
        <f>-'Data Property 1'!O178</f>
        <v>0</v>
      </c>
      <c r="P15" s="84">
        <f>-'Data Property 1'!P178</f>
        <v>0</v>
      </c>
      <c r="Q15" s="84">
        <f>-'Data Property 1'!Q178</f>
        <v>0</v>
      </c>
    </row>
    <row r="16" spans="1:17" hidden="1" outlineLevel="1" x14ac:dyDescent="0.2">
      <c r="A16" s="85" t="str">
        <f>'Data Property 1'!$A$179</f>
        <v>Legal Expenses</v>
      </c>
      <c r="B16" s="60"/>
      <c r="C16" s="285">
        <f>-'Data Property 1'!C179</f>
        <v>0</v>
      </c>
      <c r="D16" s="84">
        <f>-'Data Property 1'!D179</f>
        <v>0</v>
      </c>
      <c r="E16" s="84">
        <f>-'Data Property 1'!E179</f>
        <v>0</v>
      </c>
      <c r="F16" s="84">
        <f>-'Data Property 1'!F179</f>
        <v>0</v>
      </c>
      <c r="G16" s="84">
        <f>-'Data Property 1'!G179</f>
        <v>0</v>
      </c>
      <c r="H16" s="84">
        <f>-'Data Property 1'!H179</f>
        <v>0</v>
      </c>
      <c r="I16" s="84">
        <f>-'Data Property 1'!I179</f>
        <v>0</v>
      </c>
      <c r="J16" s="84">
        <f>-'Data Property 1'!J179</f>
        <v>0</v>
      </c>
      <c r="K16" s="84">
        <f>-'Data Property 1'!K179</f>
        <v>0</v>
      </c>
      <c r="L16" s="84">
        <f>-'Data Property 1'!L179</f>
        <v>0</v>
      </c>
      <c r="M16" s="84">
        <f>-'Data Property 1'!M179</f>
        <v>0</v>
      </c>
      <c r="N16" s="84">
        <f>-'Data Property 1'!N179</f>
        <v>0</v>
      </c>
      <c r="O16" s="84">
        <f>-'Data Property 1'!O179</f>
        <v>0</v>
      </c>
      <c r="P16" s="84">
        <f>-'Data Property 1'!P179</f>
        <v>0</v>
      </c>
      <c r="Q16" s="84">
        <f>-'Data Property 1'!Q179</f>
        <v>0</v>
      </c>
    </row>
    <row r="17" spans="1:17" hidden="1" outlineLevel="1" x14ac:dyDescent="0.2">
      <c r="A17" s="85" t="str">
        <f>'Data Property 1'!$A$180</f>
        <v>Pest Control</v>
      </c>
      <c r="B17" s="60"/>
      <c r="C17" s="285">
        <f>-'Data Property 1'!C180</f>
        <v>0</v>
      </c>
      <c r="D17" s="84">
        <f>-'Data Property 1'!D180</f>
        <v>0</v>
      </c>
      <c r="E17" s="84">
        <f>-'Data Property 1'!E180</f>
        <v>0</v>
      </c>
      <c r="F17" s="84">
        <f>-'Data Property 1'!F180</f>
        <v>0</v>
      </c>
      <c r="G17" s="84">
        <f>-'Data Property 1'!G180</f>
        <v>0</v>
      </c>
      <c r="H17" s="84">
        <f>-'Data Property 1'!H180</f>
        <v>0</v>
      </c>
      <c r="I17" s="84">
        <f>-'Data Property 1'!I180</f>
        <v>0</v>
      </c>
      <c r="J17" s="84">
        <f>-'Data Property 1'!J180</f>
        <v>0</v>
      </c>
      <c r="K17" s="84">
        <f>-'Data Property 1'!K180</f>
        <v>0</v>
      </c>
      <c r="L17" s="84">
        <f>-'Data Property 1'!L180</f>
        <v>0</v>
      </c>
      <c r="M17" s="84">
        <f>-'Data Property 1'!M180</f>
        <v>0</v>
      </c>
      <c r="N17" s="84">
        <f>-'Data Property 1'!N180</f>
        <v>0</v>
      </c>
      <c r="O17" s="84">
        <f>-'Data Property 1'!O180</f>
        <v>0</v>
      </c>
      <c r="P17" s="84">
        <f>-'Data Property 1'!P180</f>
        <v>0</v>
      </c>
      <c r="Q17" s="84">
        <f>-'Data Property 1'!Q180</f>
        <v>0</v>
      </c>
    </row>
    <row r="18" spans="1:17" hidden="1" outlineLevel="1" x14ac:dyDescent="0.2">
      <c r="A18" s="85" t="str">
        <f>'Data Property 1'!$A$181</f>
        <v>Bookkeeping</v>
      </c>
      <c r="B18" s="60"/>
      <c r="C18" s="285">
        <f>-'Data Property 1'!C181</f>
        <v>0</v>
      </c>
      <c r="D18" s="84">
        <f>-'Data Property 1'!D181</f>
        <v>0</v>
      </c>
      <c r="E18" s="84">
        <f>-'Data Property 1'!E181</f>
        <v>0</v>
      </c>
      <c r="F18" s="84">
        <f>-'Data Property 1'!F181</f>
        <v>0</v>
      </c>
      <c r="G18" s="84">
        <f>-'Data Property 1'!G181</f>
        <v>0</v>
      </c>
      <c r="H18" s="84">
        <f>-'Data Property 1'!H181</f>
        <v>0</v>
      </c>
      <c r="I18" s="84">
        <f>-'Data Property 1'!I181</f>
        <v>0</v>
      </c>
      <c r="J18" s="84">
        <f>-'Data Property 1'!J181</f>
        <v>0</v>
      </c>
      <c r="K18" s="84">
        <f>-'Data Property 1'!K181</f>
        <v>0</v>
      </c>
      <c r="L18" s="84">
        <f>-'Data Property 1'!L181</f>
        <v>0</v>
      </c>
      <c r="M18" s="84">
        <f>-'Data Property 1'!M181</f>
        <v>0</v>
      </c>
      <c r="N18" s="84">
        <f>-'Data Property 1'!N181</f>
        <v>0</v>
      </c>
      <c r="O18" s="84">
        <f>-'Data Property 1'!O181</f>
        <v>0</v>
      </c>
      <c r="P18" s="84">
        <f>-'Data Property 1'!P181</f>
        <v>0</v>
      </c>
      <c r="Q18" s="84">
        <f>-'Data Property 1'!Q181</f>
        <v>0</v>
      </c>
    </row>
    <row r="19" spans="1:17" hidden="1" outlineLevel="1" x14ac:dyDescent="0.2">
      <c r="A19" s="85" t="str">
        <f>'Data Property 1'!$A$182</f>
        <v>Postage and Stationery</v>
      </c>
      <c r="B19" s="60"/>
      <c r="C19" s="285">
        <f>-'Data Property 1'!C182</f>
        <v>0</v>
      </c>
      <c r="D19" s="84">
        <f>-'Data Property 1'!D182</f>
        <v>0</v>
      </c>
      <c r="E19" s="84">
        <f>-'Data Property 1'!E182</f>
        <v>0</v>
      </c>
      <c r="F19" s="84">
        <f>-'Data Property 1'!F182</f>
        <v>0</v>
      </c>
      <c r="G19" s="84">
        <f>-'Data Property 1'!G182</f>
        <v>0</v>
      </c>
      <c r="H19" s="84">
        <f>-'Data Property 1'!H182</f>
        <v>0</v>
      </c>
      <c r="I19" s="84">
        <f>-'Data Property 1'!I182</f>
        <v>0</v>
      </c>
      <c r="J19" s="84">
        <f>-'Data Property 1'!J182</f>
        <v>0</v>
      </c>
      <c r="K19" s="84">
        <f>-'Data Property 1'!K182</f>
        <v>0</v>
      </c>
      <c r="L19" s="84">
        <f>-'Data Property 1'!L182</f>
        <v>0</v>
      </c>
      <c r="M19" s="84">
        <f>-'Data Property 1'!M182</f>
        <v>0</v>
      </c>
      <c r="N19" s="84">
        <f>-'Data Property 1'!N182</f>
        <v>0</v>
      </c>
      <c r="O19" s="84">
        <f>-'Data Property 1'!O182</f>
        <v>0</v>
      </c>
      <c r="P19" s="84">
        <f>-'Data Property 1'!P182</f>
        <v>0</v>
      </c>
      <c r="Q19" s="84">
        <f>-'Data Property 1'!Q182</f>
        <v>0</v>
      </c>
    </row>
    <row r="20" spans="1:17" hidden="1" outlineLevel="1" x14ac:dyDescent="0.2">
      <c r="A20" s="85" t="str">
        <f>'Data Property 1'!$A$183</f>
        <v>Tax Related Expenses</v>
      </c>
      <c r="B20" s="60"/>
      <c r="C20" s="285">
        <f>-'Data Property 1'!C183</f>
        <v>-36.217123287671235</v>
      </c>
      <c r="D20" s="84">
        <f>-'Data Property 1'!D183</f>
        <v>-589.11874999999998</v>
      </c>
      <c r="E20" s="84">
        <f>-'Data Property 1'!E183</f>
        <v>-603.84671874999992</v>
      </c>
      <c r="F20" s="84">
        <f>-'Data Property 1'!F183</f>
        <v>-618.94288671874995</v>
      </c>
      <c r="G20" s="84">
        <f>-'Data Property 1'!G183</f>
        <v>-634.41645888671871</v>
      </c>
      <c r="H20" s="84">
        <f>-'Data Property 1'!H183</f>
        <v>-650.27687035888664</v>
      </c>
      <c r="I20" s="84">
        <f>-'Data Property 1'!I183</f>
        <v>-666.53379211785875</v>
      </c>
      <c r="J20" s="84">
        <f>-'Data Property 1'!J183</f>
        <v>-683.19713692080518</v>
      </c>
      <c r="K20" s="84">
        <f>-'Data Property 1'!K183</f>
        <v>-700.27706534382526</v>
      </c>
      <c r="L20" s="84">
        <f>-'Data Property 1'!L183</f>
        <v>-717.7839919774209</v>
      </c>
      <c r="M20" s="84">
        <f>-'Data Property 1'!M183</f>
        <v>-735.72859177685643</v>
      </c>
      <c r="N20" s="84">
        <f>-'Data Property 1'!N183</f>
        <v>-754.12180657127783</v>
      </c>
      <c r="O20" s="84">
        <f>-'Data Property 1'!O183</f>
        <v>-772.97485173555981</v>
      </c>
      <c r="P20" s="84">
        <f>-'Data Property 1'!P183</f>
        <v>-792.29922302894886</v>
      </c>
      <c r="Q20" s="84">
        <f>-'Data Property 1'!Q183</f>
        <v>-812.10670360467259</v>
      </c>
    </row>
    <row r="21" spans="1:17" hidden="1" outlineLevel="1" x14ac:dyDescent="0.2">
      <c r="A21" s="85" t="str">
        <f>'Data Property 1'!$A$184</f>
        <v>Travel and Car Expenses</v>
      </c>
      <c r="B21" s="60"/>
      <c r="C21" s="285">
        <f>-'Data Property 1'!C184</f>
        <v>0</v>
      </c>
      <c r="D21" s="84">
        <f>-'Data Property 1'!D184</f>
        <v>0</v>
      </c>
      <c r="E21" s="84">
        <f>-'Data Property 1'!E184</f>
        <v>0</v>
      </c>
      <c r="F21" s="84">
        <f>-'Data Property 1'!F184</f>
        <v>0</v>
      </c>
      <c r="G21" s="84">
        <f>-'Data Property 1'!G184</f>
        <v>0</v>
      </c>
      <c r="H21" s="84">
        <f>-'Data Property 1'!H184</f>
        <v>0</v>
      </c>
      <c r="I21" s="84">
        <f>-'Data Property 1'!I184</f>
        <v>0</v>
      </c>
      <c r="J21" s="84">
        <f>-'Data Property 1'!J184</f>
        <v>0</v>
      </c>
      <c r="K21" s="84">
        <f>-'Data Property 1'!K184</f>
        <v>0</v>
      </c>
      <c r="L21" s="84">
        <f>-'Data Property 1'!L184</f>
        <v>0</v>
      </c>
      <c r="M21" s="84">
        <f>-'Data Property 1'!M184</f>
        <v>0</v>
      </c>
      <c r="N21" s="84">
        <f>-'Data Property 1'!N184</f>
        <v>0</v>
      </c>
      <c r="O21" s="84">
        <f>-'Data Property 1'!O184</f>
        <v>0</v>
      </c>
      <c r="P21" s="84">
        <f>-'Data Property 1'!P184</f>
        <v>0</v>
      </c>
      <c r="Q21" s="84">
        <f>-'Data Property 1'!Q184</f>
        <v>0</v>
      </c>
    </row>
    <row r="22" spans="1:17" hidden="1" outlineLevel="1" x14ac:dyDescent="0.2">
      <c r="A22" s="85" t="str">
        <f>'Data Property 1'!$A$185</f>
        <v>Once Off Expenses</v>
      </c>
      <c r="B22" s="60"/>
      <c r="C22" s="285">
        <f>-'Data Property 1'!C185</f>
        <v>-50</v>
      </c>
      <c r="D22" s="84">
        <f>-'Data Property 1'!D185</f>
        <v>0</v>
      </c>
      <c r="E22" s="84">
        <f>-'Data Property 1'!E185</f>
        <v>0</v>
      </c>
      <c r="F22" s="84">
        <f>-'Data Property 1'!F185</f>
        <v>0</v>
      </c>
      <c r="G22" s="84">
        <f>-'Data Property 1'!G185</f>
        <v>0</v>
      </c>
      <c r="H22" s="84">
        <f>-'Data Property 1'!H185</f>
        <v>0</v>
      </c>
      <c r="I22" s="84">
        <f>-'Data Property 1'!I185</f>
        <v>0</v>
      </c>
      <c r="J22" s="84">
        <f>-'Data Property 1'!J185</f>
        <v>0</v>
      </c>
      <c r="K22" s="84">
        <f>-'Data Property 1'!K185</f>
        <v>0</v>
      </c>
      <c r="L22" s="84">
        <f>-'Data Property 1'!L185</f>
        <v>0</v>
      </c>
      <c r="M22" s="84">
        <f>-'Data Property 1'!M185</f>
        <v>0</v>
      </c>
      <c r="N22" s="84">
        <f>-'Data Property 1'!N185</f>
        <v>0</v>
      </c>
      <c r="O22" s="84">
        <f>-'Data Property 1'!O185</f>
        <v>0</v>
      </c>
      <c r="P22" s="84">
        <f>-'Data Property 1'!P185</f>
        <v>0</v>
      </c>
      <c r="Q22" s="84">
        <f>-'Data Property 1'!Q185</f>
        <v>0</v>
      </c>
    </row>
    <row r="23" spans="1:17" collapsed="1" x14ac:dyDescent="0.2">
      <c r="A23" s="85" t="str">
        <f>'Data Property 1'!$A$186</f>
        <v>Total Property Expenses</v>
      </c>
      <c r="B23" s="60"/>
      <c r="C23" s="285">
        <f>-'Data Property 1'!C186</f>
        <v>-679.06780821917812</v>
      </c>
      <c r="D23" s="84">
        <f>-'Data Property 1'!D186</f>
        <v>-5925.4247500000001</v>
      </c>
      <c r="E23" s="84">
        <f>-'Data Property 1'!E186</f>
        <v>-6085.4633862499995</v>
      </c>
      <c r="F23" s="84">
        <f>-'Data Property 1'!F186</f>
        <v>-6253.54301258125</v>
      </c>
      <c r="G23" s="84">
        <f>-'Data Property 1'!G186</f>
        <v>-6426.3826360294061</v>
      </c>
      <c r="H23" s="84">
        <f>-'Data Property 1'!H186</f>
        <v>-6608.0401515570766</v>
      </c>
      <c r="I23" s="84">
        <f>-'Data Property 1'!I186</f>
        <v>-6786.9001417040954</v>
      </c>
      <c r="J23" s="84">
        <f>-'Data Property 1'!J186</f>
        <v>-6974.8676522686828</v>
      </c>
      <c r="K23" s="84">
        <f>-'Data Property 1'!K186</f>
        <v>-7168.1746758431545</v>
      </c>
      <c r="L23" s="84">
        <f>-'Data Property 1'!L186</f>
        <v>-7371.4746729021072</v>
      </c>
      <c r="M23" s="84">
        <f>-'Data Property 1'!M186</f>
        <v>-7571.4355407357934</v>
      </c>
      <c r="N23" s="84">
        <f>-'Data Property 1'!N186</f>
        <v>-7781.7153706085119</v>
      </c>
      <c r="O23" s="84">
        <f>-'Data Property 1'!O186</f>
        <v>-7997.9869841754498</v>
      </c>
      <c r="P23" s="84">
        <f>-'Data Property 1'!P186</f>
        <v>-8225.5869486062875</v>
      </c>
      <c r="Q23" s="84">
        <f>-'Data Property 1'!Q186</f>
        <v>-8449.2128989935409</v>
      </c>
    </row>
    <row r="24" spans="1:17" x14ac:dyDescent="0.2">
      <c r="A24" s="119"/>
      <c r="B24" s="82"/>
      <c r="C24" s="286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</row>
    <row r="25" spans="1:17" x14ac:dyDescent="0.2">
      <c r="A25" s="88" t="str">
        <f>'Data Property 1'!$A$187</f>
        <v>Total Costs</v>
      </c>
      <c r="B25" s="190"/>
      <c r="C25" s="287">
        <f>-'Data Property 1'!C187</f>
        <v>-1528.4823835616439</v>
      </c>
      <c r="D25" s="89">
        <f>-'Data Property 1'!D187</f>
        <v>-19442.19581849315</v>
      </c>
      <c r="E25" s="89">
        <f>-'Data Property 1'!E187</f>
        <v>-19565.303386250001</v>
      </c>
      <c r="F25" s="89">
        <f>-'Data Property 1'!F187</f>
        <v>-19733.383012581249</v>
      </c>
      <c r="G25" s="89">
        <f>-'Data Property 1'!G187</f>
        <v>-19906.222636029408</v>
      </c>
      <c r="H25" s="89">
        <f>-'Data Property 1'!H187</f>
        <v>-20124.811220050229</v>
      </c>
      <c r="I25" s="89">
        <f>-'Data Property 1'!I187</f>
        <v>-20266.740141704096</v>
      </c>
      <c r="J25" s="89">
        <f>-'Data Property 1'!J187</f>
        <v>-20454.707652268684</v>
      </c>
      <c r="K25" s="89">
        <f>-'Data Property 1'!K187</f>
        <v>-20648.014675843155</v>
      </c>
      <c r="L25" s="89">
        <f>-'Data Property 1'!L187</f>
        <v>-20888.245741395258</v>
      </c>
      <c r="M25" s="89">
        <f>-'Data Property 1'!M187</f>
        <v>-21051.275540735794</v>
      </c>
      <c r="N25" s="89">
        <f>-'Data Property 1'!N187</f>
        <v>-21261.555370608512</v>
      </c>
      <c r="O25" s="89">
        <f>-'Data Property 1'!O187</f>
        <v>-21477.826984175452</v>
      </c>
      <c r="P25" s="89">
        <f>-'Data Property 1'!P187</f>
        <v>-21742.358017099439</v>
      </c>
      <c r="Q25" s="89">
        <f>-'Data Property 1'!Q187</f>
        <v>-21929.052898993541</v>
      </c>
    </row>
    <row r="26" spans="1:17" x14ac:dyDescent="0.2">
      <c r="A26" s="82"/>
      <c r="B26" s="82"/>
      <c r="C26" s="288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17" x14ac:dyDescent="0.2">
      <c r="A27" s="73" t="s">
        <v>121</v>
      </c>
      <c r="B27" s="342"/>
      <c r="C27" s="28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1:17" outlineLevel="1" x14ac:dyDescent="0.2">
      <c r="A28" s="83" t="s">
        <v>43</v>
      </c>
      <c r="B28" s="60"/>
      <c r="C28" s="285">
        <f>-'Data Property 1'!C196</f>
        <v>-362</v>
      </c>
      <c r="D28" s="84">
        <f>-'Data Property 1'!D196</f>
        <v>-362</v>
      </c>
      <c r="E28" s="84">
        <f>-'Data Property 1'!E196</f>
        <v>-362</v>
      </c>
      <c r="F28" s="84">
        <f>-'Data Property 1'!F196</f>
        <v>-362</v>
      </c>
      <c r="G28" s="84">
        <f>-'Data Property 1'!G196</f>
        <v>-362</v>
      </c>
      <c r="H28" s="84">
        <f>-'Data Property 1'!H196</f>
        <v>0</v>
      </c>
      <c r="I28" s="84">
        <f>-'Data Property 1'!I196</f>
        <v>0</v>
      </c>
      <c r="J28" s="84">
        <f>-'Data Property 1'!J196</f>
        <v>0</v>
      </c>
      <c r="K28" s="84">
        <f>-'Data Property 1'!K196</f>
        <v>0</v>
      </c>
      <c r="L28" s="84">
        <f>-'Data Property 1'!L196</f>
        <v>0</v>
      </c>
      <c r="M28" s="84">
        <f>-'Data Property 1'!M196</f>
        <v>0</v>
      </c>
      <c r="N28" s="84">
        <f>-'Data Property 1'!N196</f>
        <v>0</v>
      </c>
      <c r="O28" s="84">
        <f>-'Data Property 1'!O196</f>
        <v>0</v>
      </c>
      <c r="P28" s="84">
        <f>-'Data Property 1'!P196</f>
        <v>0</v>
      </c>
      <c r="Q28" s="84">
        <f>-'Data Property 1'!Q196</f>
        <v>0</v>
      </c>
    </row>
    <row r="29" spans="1:17" outlineLevel="1" x14ac:dyDescent="0.2">
      <c r="A29" s="85" t="str">
        <f>'Data Property 1'!$A$197</f>
        <v>Depreciation - Buildings</v>
      </c>
      <c r="C29" s="290">
        <f>-'Data Property 1'!C197</f>
        <v>-3000</v>
      </c>
      <c r="D29" s="86">
        <f>-'Data Property 1'!D197</f>
        <v>-3000</v>
      </c>
      <c r="E29" s="86">
        <f>-'Data Property 1'!E197</f>
        <v>-3000</v>
      </c>
      <c r="F29" s="86">
        <f>-'Data Property 1'!F197</f>
        <v>-3000</v>
      </c>
      <c r="G29" s="86">
        <f>-'Data Property 1'!G197</f>
        <v>-3000</v>
      </c>
      <c r="H29" s="86">
        <f>-'Data Property 1'!H197</f>
        <v>-3000</v>
      </c>
      <c r="I29" s="86">
        <f>-'Data Property 1'!I197</f>
        <v>-3000</v>
      </c>
      <c r="J29" s="86">
        <f>-'Data Property 1'!J197</f>
        <v>-3000</v>
      </c>
      <c r="K29" s="86">
        <f>-'Data Property 1'!K197</f>
        <v>-3000</v>
      </c>
      <c r="L29" s="86">
        <f>-'Data Property 1'!L197</f>
        <v>-3000</v>
      </c>
      <c r="M29" s="86">
        <f>-'Data Property 1'!M197</f>
        <v>-3000</v>
      </c>
      <c r="N29" s="86">
        <f>-'Data Property 1'!N197</f>
        <v>-3000</v>
      </c>
      <c r="O29" s="86">
        <f>-'Data Property 1'!O197</f>
        <v>-3000</v>
      </c>
      <c r="P29" s="86">
        <f>-'Data Property 1'!P197</f>
        <v>-3000</v>
      </c>
      <c r="Q29" s="86">
        <f>-'Data Property 1'!Q197</f>
        <v>-3000</v>
      </c>
    </row>
    <row r="30" spans="1:17" outlineLevel="1" x14ac:dyDescent="0.2">
      <c r="A30" s="85" t="str">
        <f>'Data Property 1'!$A$198</f>
        <v xml:space="preserve">Depreciation - Fittings Diminishing Value </v>
      </c>
      <c r="B30" s="76"/>
      <c r="C30" s="291">
        <f>-'Data Property 1'!C198</f>
        <v>-1500</v>
      </c>
      <c r="D30" s="90">
        <f>-'Data Property 1'!D198</f>
        <v>-1050</v>
      </c>
      <c r="E30" s="90">
        <f>-'Data Property 1'!E198</f>
        <v>-735</v>
      </c>
      <c r="F30" s="90">
        <f>-'Data Property 1'!F198</f>
        <v>-514.5</v>
      </c>
      <c r="G30" s="90">
        <f>-'Data Property 1'!G198</f>
        <v>-360.15</v>
      </c>
      <c r="H30" s="90">
        <f>-'Data Property 1'!H198</f>
        <v>-252.10499999999999</v>
      </c>
      <c r="I30" s="90">
        <f>-'Data Property 1'!I198</f>
        <v>-176.4735</v>
      </c>
      <c r="J30" s="90">
        <f>-'Data Property 1'!J198</f>
        <v>-123.53144999999999</v>
      </c>
      <c r="K30" s="90">
        <f>-'Data Property 1'!K198</f>
        <v>-86.472014999999999</v>
      </c>
      <c r="L30" s="90">
        <f>-'Data Property 1'!L198</f>
        <v>-60.530410499999995</v>
      </c>
      <c r="M30" s="90">
        <f>-'Data Property 1'!M198</f>
        <v>-42.371287350000003</v>
      </c>
      <c r="N30" s="90">
        <f>-'Data Property 1'!N198</f>
        <v>-29.659901144999999</v>
      </c>
      <c r="O30" s="90">
        <f>-'Data Property 1'!O198</f>
        <v>-20.7619308015</v>
      </c>
      <c r="P30" s="90">
        <f>-'Data Property 1'!P198</f>
        <v>-14.533351561049999</v>
      </c>
      <c r="Q30" s="90">
        <f>-'Data Property 1'!Q198</f>
        <v>-10.173346092735001</v>
      </c>
    </row>
    <row r="31" spans="1:17" x14ac:dyDescent="0.2">
      <c r="A31" s="88" t="str">
        <f>'Data Property 1'!$A$200</f>
        <v>Total Non-cash Deductions</v>
      </c>
      <c r="B31" s="190"/>
      <c r="C31" s="287">
        <f t="shared" ref="C31:Q31" si="0">SUM(C28:C30)</f>
        <v>-4862</v>
      </c>
      <c r="D31" s="89">
        <f t="shared" si="0"/>
        <v>-4412</v>
      </c>
      <c r="E31" s="89">
        <f t="shared" si="0"/>
        <v>-4097</v>
      </c>
      <c r="F31" s="89">
        <f t="shared" si="0"/>
        <v>-3876.5</v>
      </c>
      <c r="G31" s="89">
        <f t="shared" si="0"/>
        <v>-3722.15</v>
      </c>
      <c r="H31" s="89">
        <f t="shared" si="0"/>
        <v>-3252.105</v>
      </c>
      <c r="I31" s="89">
        <f t="shared" si="0"/>
        <v>-3176.4735000000001</v>
      </c>
      <c r="J31" s="89">
        <f t="shared" si="0"/>
        <v>-3123.5314499999999</v>
      </c>
      <c r="K31" s="89">
        <f t="shared" si="0"/>
        <v>-3086.4720149999998</v>
      </c>
      <c r="L31" s="89">
        <f t="shared" si="0"/>
        <v>-3060.5304105</v>
      </c>
      <c r="M31" s="89">
        <f t="shared" si="0"/>
        <v>-3042.3712873499999</v>
      </c>
      <c r="N31" s="89">
        <f t="shared" si="0"/>
        <v>-3029.6599011449998</v>
      </c>
      <c r="O31" s="89">
        <f t="shared" si="0"/>
        <v>-3020.7619308015001</v>
      </c>
      <c r="P31" s="89">
        <f t="shared" si="0"/>
        <v>-3014.53335156105</v>
      </c>
      <c r="Q31" s="89">
        <f t="shared" si="0"/>
        <v>-3010.1733460927348</v>
      </c>
    </row>
    <row r="32" spans="1:17" x14ac:dyDescent="0.2">
      <c r="A32" s="60"/>
      <c r="B32" s="60"/>
      <c r="C32" s="292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</row>
    <row r="33" spans="1:17" x14ac:dyDescent="0.2">
      <c r="A33" s="73" t="s">
        <v>122</v>
      </c>
      <c r="B33" s="342"/>
      <c r="C33" s="28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1:17" hidden="1" outlineLevel="1" x14ac:dyDescent="0.2">
      <c r="A34" s="91" t="str">
        <f>'Data Property 1'!$A$163</f>
        <v>Rent Per Week</v>
      </c>
      <c r="B34" s="343"/>
      <c r="C34" s="293">
        <f>'Data Property 1'!C163</f>
        <v>330</v>
      </c>
      <c r="D34" s="92">
        <f>'Data Property 1'!D163</f>
        <v>341.54999999999995</v>
      </c>
      <c r="E34" s="92">
        <f>'Data Property 1'!E163</f>
        <v>353.5042499999999</v>
      </c>
      <c r="F34" s="92">
        <f>'Data Property 1'!F163</f>
        <v>365.8768987499999</v>
      </c>
      <c r="G34" s="92">
        <f>'Data Property 1'!G163</f>
        <v>378.68259020624987</v>
      </c>
      <c r="H34" s="92">
        <f>'Data Property 1'!H163</f>
        <v>391.9364808634686</v>
      </c>
      <c r="I34" s="92">
        <f>'Data Property 1'!I163</f>
        <v>405.65425769369</v>
      </c>
      <c r="J34" s="92">
        <f>'Data Property 1'!J163</f>
        <v>419.85215671296913</v>
      </c>
      <c r="K34" s="92">
        <f>'Data Property 1'!K163</f>
        <v>434.546982197923</v>
      </c>
      <c r="L34" s="92">
        <f>'Data Property 1'!L163</f>
        <v>449.75612657485027</v>
      </c>
      <c r="M34" s="92">
        <f>'Data Property 1'!M163</f>
        <v>465.49759100496999</v>
      </c>
      <c r="N34" s="92">
        <f>'Data Property 1'!N163</f>
        <v>481.79000669014391</v>
      </c>
      <c r="O34" s="92">
        <f>'Data Property 1'!O163</f>
        <v>498.65265692429892</v>
      </c>
      <c r="P34" s="92">
        <f>'Data Property 1'!P163</f>
        <v>516.10549991664936</v>
      </c>
      <c r="Q34" s="92">
        <f>'Data Property 1'!Q163</f>
        <v>534.16919241373205</v>
      </c>
    </row>
    <row r="35" spans="1:17" hidden="1" outlineLevel="1" x14ac:dyDescent="0.2">
      <c r="A35" s="93" t="str">
        <f>'Data Property 1'!$A$164</f>
        <v>Weeks</v>
      </c>
      <c r="B35" s="344"/>
      <c r="C35" s="294">
        <f>'Input Property 1'!$B$7</f>
        <v>50</v>
      </c>
      <c r="D35" s="250">
        <f>'Input Property 1'!$B$7</f>
        <v>50</v>
      </c>
      <c r="E35" s="250">
        <f>'Input Property 1'!$B$7</f>
        <v>50</v>
      </c>
      <c r="F35" s="250">
        <f>'Input Property 1'!$B$7</f>
        <v>50</v>
      </c>
      <c r="G35" s="250">
        <f>'Input Property 1'!$B$7</f>
        <v>50</v>
      </c>
      <c r="H35" s="250">
        <f>'Input Property 1'!$B$7</f>
        <v>50</v>
      </c>
      <c r="I35" s="250">
        <f>'Input Property 1'!$B$7</f>
        <v>50</v>
      </c>
      <c r="J35" s="250">
        <f>'Input Property 1'!$B$7</f>
        <v>50</v>
      </c>
      <c r="K35" s="250">
        <f>'Input Property 1'!$B$7</f>
        <v>50</v>
      </c>
      <c r="L35" s="250">
        <f>'Input Property 1'!$B$7</f>
        <v>50</v>
      </c>
      <c r="M35" s="250">
        <f>'Input Property 1'!$B$7</f>
        <v>50</v>
      </c>
      <c r="N35" s="250">
        <f>'Input Property 1'!$B$7</f>
        <v>50</v>
      </c>
      <c r="O35" s="250">
        <f>'Input Property 1'!$B$7</f>
        <v>50</v>
      </c>
      <c r="P35" s="250">
        <f>'Input Property 1'!$B$7</f>
        <v>50</v>
      </c>
      <c r="Q35" s="250">
        <f>'Input Property 1'!$B$7</f>
        <v>50</v>
      </c>
    </row>
    <row r="36" spans="1:17" collapsed="1" x14ac:dyDescent="0.2">
      <c r="A36" s="94" t="str">
        <f>'Data Property 1'!$A$165</f>
        <v>Total Rent</v>
      </c>
      <c r="B36" s="345"/>
      <c r="C36" s="295">
        <f>'Data Property 1'!C165</f>
        <v>424.28571428571433</v>
      </c>
      <c r="D36" s="95">
        <f>'Data Property 1'!D165</f>
        <v>17175.085714285713</v>
      </c>
      <c r="E36" s="95">
        <f>'Data Property 1'!E165</f>
        <v>17725.713107142852</v>
      </c>
      <c r="F36" s="95">
        <f>'Data Property 1'!F165</f>
        <v>18346.113065892852</v>
      </c>
      <c r="G36" s="95">
        <f>'Data Property 1'!G165</f>
        <v>18988.227023199102</v>
      </c>
      <c r="H36" s="95">
        <f>'Data Property 1'!H165</f>
        <v>19708.805894848705</v>
      </c>
      <c r="I36" s="95">
        <f>'Data Property 1'!I165</f>
        <v>20340.663492926458</v>
      </c>
      <c r="J36" s="95">
        <f>'Data Property 1'!J165</f>
        <v>21052.586715178881</v>
      </c>
      <c r="K36" s="95">
        <f>'Data Property 1'!K165</f>
        <v>21789.427250210141</v>
      </c>
      <c r="L36" s="95">
        <f>'Data Property 1'!L165</f>
        <v>22616.308079192469</v>
      </c>
      <c r="M36" s="95">
        <f>'Data Property 1'!M165</f>
        <v>23341.379206106354</v>
      </c>
      <c r="N36" s="95">
        <f>'Data Property 1'!N165</f>
        <v>24158.327478320076</v>
      </c>
      <c r="O36" s="95">
        <f>'Data Property 1'!O165</f>
        <v>25003.868940061275</v>
      </c>
      <c r="P36" s="95">
        <f>'Data Property 1'!P165</f>
        <v>25952.733710094366</v>
      </c>
      <c r="Q36" s="95">
        <f>'Data Property 1'!Q165</f>
        <v>26784.769505317137</v>
      </c>
    </row>
    <row r="37" spans="1:17" x14ac:dyDescent="0.2">
      <c r="A37" s="60"/>
      <c r="B37" s="60"/>
      <c r="C37" s="198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x14ac:dyDescent="0.2">
      <c r="A38" s="73" t="s">
        <v>124</v>
      </c>
      <c r="B38" s="342"/>
      <c r="C38" s="289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1:17" outlineLevel="1" x14ac:dyDescent="0.2">
      <c r="A39" s="96" t="s">
        <v>125</v>
      </c>
      <c r="B39" s="346"/>
      <c r="C39" s="296">
        <f t="shared" ref="C39:Q39" si="1">C25</f>
        <v>-1528.4823835616439</v>
      </c>
      <c r="D39" s="97">
        <f t="shared" si="1"/>
        <v>-19442.19581849315</v>
      </c>
      <c r="E39" s="97">
        <f t="shared" si="1"/>
        <v>-19565.303386250001</v>
      </c>
      <c r="F39" s="97">
        <f t="shared" si="1"/>
        <v>-19733.383012581249</v>
      </c>
      <c r="G39" s="97">
        <f t="shared" si="1"/>
        <v>-19906.222636029408</v>
      </c>
      <c r="H39" s="97">
        <f t="shared" si="1"/>
        <v>-20124.811220050229</v>
      </c>
      <c r="I39" s="97">
        <f t="shared" si="1"/>
        <v>-20266.740141704096</v>
      </c>
      <c r="J39" s="97">
        <f t="shared" si="1"/>
        <v>-20454.707652268684</v>
      </c>
      <c r="K39" s="97">
        <f t="shared" si="1"/>
        <v>-20648.014675843155</v>
      </c>
      <c r="L39" s="97">
        <f t="shared" si="1"/>
        <v>-20888.245741395258</v>
      </c>
      <c r="M39" s="97">
        <f t="shared" si="1"/>
        <v>-21051.275540735794</v>
      </c>
      <c r="N39" s="97">
        <f t="shared" si="1"/>
        <v>-21261.555370608512</v>
      </c>
      <c r="O39" s="97">
        <f t="shared" si="1"/>
        <v>-21477.826984175452</v>
      </c>
      <c r="P39" s="97">
        <f t="shared" si="1"/>
        <v>-21742.358017099439</v>
      </c>
      <c r="Q39" s="97">
        <f t="shared" si="1"/>
        <v>-21929.052898993541</v>
      </c>
    </row>
    <row r="40" spans="1:17" outlineLevel="1" x14ac:dyDescent="0.2">
      <c r="A40" s="98" t="s">
        <v>126</v>
      </c>
      <c r="B40" s="347"/>
      <c r="C40" s="297">
        <f t="shared" ref="C40:Q40" si="2">C36</f>
        <v>424.28571428571433</v>
      </c>
      <c r="D40" s="99">
        <f t="shared" si="2"/>
        <v>17175.085714285713</v>
      </c>
      <c r="E40" s="99">
        <f t="shared" si="2"/>
        <v>17725.713107142852</v>
      </c>
      <c r="F40" s="99">
        <f t="shared" si="2"/>
        <v>18346.113065892852</v>
      </c>
      <c r="G40" s="99">
        <f t="shared" si="2"/>
        <v>18988.227023199102</v>
      </c>
      <c r="H40" s="99">
        <f t="shared" si="2"/>
        <v>19708.805894848705</v>
      </c>
      <c r="I40" s="99">
        <f t="shared" si="2"/>
        <v>20340.663492926458</v>
      </c>
      <c r="J40" s="99">
        <f t="shared" si="2"/>
        <v>21052.586715178881</v>
      </c>
      <c r="K40" s="99">
        <f t="shared" si="2"/>
        <v>21789.427250210141</v>
      </c>
      <c r="L40" s="99">
        <f t="shared" si="2"/>
        <v>22616.308079192469</v>
      </c>
      <c r="M40" s="99">
        <f t="shared" si="2"/>
        <v>23341.379206106354</v>
      </c>
      <c r="N40" s="99">
        <f t="shared" si="2"/>
        <v>24158.327478320076</v>
      </c>
      <c r="O40" s="99">
        <f t="shared" si="2"/>
        <v>25003.868940061275</v>
      </c>
      <c r="P40" s="99">
        <f t="shared" si="2"/>
        <v>25952.733710094366</v>
      </c>
      <c r="Q40" s="99">
        <f t="shared" si="2"/>
        <v>26784.769505317137</v>
      </c>
    </row>
    <row r="41" spans="1:17" outlineLevel="1" x14ac:dyDescent="0.2">
      <c r="A41" s="98" t="s">
        <v>127</v>
      </c>
      <c r="B41" s="346"/>
      <c r="C41" s="296">
        <f t="shared" ref="C41:Q41" si="3">C39+C40</f>
        <v>-1104.1966692759297</v>
      </c>
      <c r="D41" s="97">
        <f t="shared" si="3"/>
        <v>-2267.110104207437</v>
      </c>
      <c r="E41" s="97">
        <f t="shared" si="3"/>
        <v>-1839.5902791071494</v>
      </c>
      <c r="F41" s="97">
        <f t="shared" si="3"/>
        <v>-1387.2699466883969</v>
      </c>
      <c r="G41" s="97">
        <f t="shared" si="3"/>
        <v>-917.99561283030562</v>
      </c>
      <c r="H41" s="97">
        <f t="shared" si="3"/>
        <v>-416.0053252015241</v>
      </c>
      <c r="I41" s="97">
        <f t="shared" si="3"/>
        <v>73.923351222361816</v>
      </c>
      <c r="J41" s="97">
        <f t="shared" si="3"/>
        <v>597.87906291019681</v>
      </c>
      <c r="K41" s="97">
        <f t="shared" si="3"/>
        <v>1141.4125743669865</v>
      </c>
      <c r="L41" s="97">
        <f t="shared" si="3"/>
        <v>1728.0623377972115</v>
      </c>
      <c r="M41" s="97">
        <f t="shared" si="3"/>
        <v>2290.1036653705596</v>
      </c>
      <c r="N41" s="97">
        <f t="shared" si="3"/>
        <v>2896.7721077115639</v>
      </c>
      <c r="O41" s="97">
        <f t="shared" si="3"/>
        <v>3526.041955885823</v>
      </c>
      <c r="P41" s="97">
        <f t="shared" si="3"/>
        <v>4210.3756929949268</v>
      </c>
      <c r="Q41" s="97">
        <f t="shared" si="3"/>
        <v>4855.7166063235964</v>
      </c>
    </row>
    <row r="42" spans="1:17" outlineLevel="1" x14ac:dyDescent="0.2">
      <c r="A42" s="98" t="s">
        <v>128</v>
      </c>
      <c r="B42" s="348"/>
      <c r="C42" s="298">
        <f t="shared" ref="C42:Q42" si="4">C31</f>
        <v>-4862</v>
      </c>
      <c r="D42" s="100">
        <f t="shared" si="4"/>
        <v>-4412</v>
      </c>
      <c r="E42" s="100">
        <f t="shared" si="4"/>
        <v>-4097</v>
      </c>
      <c r="F42" s="100">
        <f t="shared" si="4"/>
        <v>-3876.5</v>
      </c>
      <c r="G42" s="100">
        <f t="shared" si="4"/>
        <v>-3722.15</v>
      </c>
      <c r="H42" s="100">
        <f t="shared" si="4"/>
        <v>-3252.105</v>
      </c>
      <c r="I42" s="100">
        <f t="shared" si="4"/>
        <v>-3176.4735000000001</v>
      </c>
      <c r="J42" s="100">
        <f t="shared" si="4"/>
        <v>-3123.5314499999999</v>
      </c>
      <c r="K42" s="100">
        <f t="shared" si="4"/>
        <v>-3086.4720149999998</v>
      </c>
      <c r="L42" s="100">
        <f t="shared" si="4"/>
        <v>-3060.5304105</v>
      </c>
      <c r="M42" s="100">
        <f t="shared" si="4"/>
        <v>-3042.3712873499999</v>
      </c>
      <c r="N42" s="100">
        <f t="shared" si="4"/>
        <v>-3029.6599011449998</v>
      </c>
      <c r="O42" s="100">
        <f t="shared" si="4"/>
        <v>-3020.7619308015001</v>
      </c>
      <c r="P42" s="100">
        <f t="shared" si="4"/>
        <v>-3014.53335156105</v>
      </c>
      <c r="Q42" s="100">
        <f t="shared" si="4"/>
        <v>-3010.1733460927348</v>
      </c>
    </row>
    <row r="43" spans="1:17" outlineLevel="1" x14ac:dyDescent="0.2">
      <c r="A43" s="98"/>
      <c r="B43" s="347"/>
      <c r="C43" s="299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1:17" x14ac:dyDescent="0.2">
      <c r="A44" s="102" t="s">
        <v>129</v>
      </c>
      <c r="B44" s="349"/>
      <c r="C44" s="300">
        <f t="shared" ref="C44:Q44" si="5">C41+C42</f>
        <v>-5966.1966692759297</v>
      </c>
      <c r="D44" s="103">
        <f t="shared" si="5"/>
        <v>-6679.110104207437</v>
      </c>
      <c r="E44" s="103">
        <f t="shared" si="5"/>
        <v>-5936.5902791071494</v>
      </c>
      <c r="F44" s="103">
        <f t="shared" si="5"/>
        <v>-5263.7699466883969</v>
      </c>
      <c r="G44" s="103">
        <f t="shared" si="5"/>
        <v>-4640.1456128303053</v>
      </c>
      <c r="H44" s="103">
        <f t="shared" si="5"/>
        <v>-3668.1103252015241</v>
      </c>
      <c r="I44" s="103">
        <f t="shared" si="5"/>
        <v>-3102.5501487776382</v>
      </c>
      <c r="J44" s="103">
        <f t="shared" si="5"/>
        <v>-2525.6523870898031</v>
      </c>
      <c r="K44" s="103">
        <f t="shared" si="5"/>
        <v>-1945.0594406330133</v>
      </c>
      <c r="L44" s="103">
        <f t="shared" si="5"/>
        <v>-1332.4680727027885</v>
      </c>
      <c r="M44" s="103">
        <f t="shared" si="5"/>
        <v>-752.26762197944026</v>
      </c>
      <c r="N44" s="103">
        <f t="shared" si="5"/>
        <v>-132.88779343343595</v>
      </c>
      <c r="O44" s="103">
        <f t="shared" si="5"/>
        <v>505.28002508432292</v>
      </c>
      <c r="P44" s="103">
        <f t="shared" si="5"/>
        <v>1195.8423414338768</v>
      </c>
      <c r="Q44" s="103">
        <f t="shared" si="5"/>
        <v>1845.5432602308615</v>
      </c>
    </row>
    <row r="45" spans="1:17" x14ac:dyDescent="0.2">
      <c r="A45" s="82"/>
      <c r="B45" s="82"/>
      <c r="C45" s="301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1:17" x14ac:dyDescent="0.2">
      <c r="A46" s="104" t="s">
        <v>50</v>
      </c>
      <c r="B46" s="350"/>
      <c r="C46" s="289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1:17" hidden="1" outlineLevel="1" x14ac:dyDescent="0.2">
      <c r="A47" s="105" t="s">
        <v>137</v>
      </c>
      <c r="B47" s="70"/>
      <c r="C47" s="302">
        <f>'Data Property 1'!C206</f>
        <v>123000</v>
      </c>
      <c r="D47" s="106">
        <f>'Data Property 1'!D206</f>
        <v>125460</v>
      </c>
      <c r="E47" s="106">
        <f>'Data Property 1'!E206</f>
        <v>127969.2</v>
      </c>
      <c r="F47" s="106">
        <f>'Data Property 1'!F206</f>
        <v>130528.584</v>
      </c>
      <c r="G47" s="106">
        <f>'Data Property 1'!G206</f>
        <v>133139.15568</v>
      </c>
      <c r="H47" s="106">
        <f>'Data Property 1'!H206</f>
        <v>135801.93879360001</v>
      </c>
      <c r="I47" s="106">
        <f>'Data Property 1'!I206</f>
        <v>138517.97756947202</v>
      </c>
      <c r="J47" s="106">
        <f>'Data Property 1'!J206</f>
        <v>141288.33712086146</v>
      </c>
      <c r="K47" s="106">
        <f>'Data Property 1'!K206</f>
        <v>144114.10386327869</v>
      </c>
      <c r="L47" s="106">
        <f>'Data Property 1'!L206</f>
        <v>146996.38594054428</v>
      </c>
      <c r="M47" s="106">
        <f>'Data Property 1'!M206</f>
        <v>149936.31365935516</v>
      </c>
      <c r="N47" s="106">
        <f>'Data Property 1'!N206</f>
        <v>152935.03993254228</v>
      </c>
      <c r="O47" s="106">
        <f>'Data Property 1'!O206</f>
        <v>155993.74073119313</v>
      </c>
      <c r="P47" s="106">
        <f>'Data Property 1'!P206</f>
        <v>159113.61554581701</v>
      </c>
      <c r="Q47" s="106">
        <f>'Data Property 1'!Q206</f>
        <v>162295.88785673334</v>
      </c>
    </row>
    <row r="48" spans="1:17" hidden="1" outlineLevel="1" x14ac:dyDescent="0.2">
      <c r="A48" s="107" t="s">
        <v>35</v>
      </c>
      <c r="B48" s="189"/>
      <c r="C48" s="303">
        <f>-'Data Property 1'!C207</f>
        <v>-33456.114999999998</v>
      </c>
      <c r="D48" s="108">
        <f>-'Data Property 1'!D207</f>
        <v>-34366.315000000002</v>
      </c>
      <c r="E48" s="108">
        <f>-'Data Property 1'!E207</f>
        <v>-35294.718999999997</v>
      </c>
      <c r="F48" s="108">
        <f>-'Data Property 1'!F207</f>
        <v>-36241.691080000004</v>
      </c>
      <c r="G48" s="108">
        <f>-'Data Property 1'!G207</f>
        <v>-37207.602601599996</v>
      </c>
      <c r="H48" s="108">
        <f>-'Data Property 1'!H207</f>
        <v>-38192.832353632009</v>
      </c>
      <c r="I48" s="108">
        <f>-'Data Property 1'!I207</f>
        <v>-39197.766700704648</v>
      </c>
      <c r="J48" s="108">
        <f>-'Data Property 1'!J207</f>
        <v>-40222.799734718734</v>
      </c>
      <c r="K48" s="108">
        <f>-'Data Property 1'!K207</f>
        <v>-41268.33342941312</v>
      </c>
      <c r="L48" s="108">
        <f>-'Data Property 1'!L207</f>
        <v>-42334.777798001378</v>
      </c>
      <c r="M48" s="108">
        <f>-'Data Property 1'!M207</f>
        <v>-43422.551053961412</v>
      </c>
      <c r="N48" s="108">
        <f>-'Data Property 1'!N207</f>
        <v>-44532.079775040642</v>
      </c>
      <c r="O48" s="108">
        <f>-'Data Property 1'!O207</f>
        <v>-45663.799070541456</v>
      </c>
      <c r="P48" s="108">
        <f>-'Data Property 1'!P207</f>
        <v>-46818.152751952293</v>
      </c>
      <c r="Q48" s="108">
        <f>-'Data Property 1'!Q207</f>
        <v>-47995.593506991339</v>
      </c>
    </row>
    <row r="49" spans="1:17" hidden="1" outlineLevel="1" x14ac:dyDescent="0.2">
      <c r="A49" s="107" t="s">
        <v>139</v>
      </c>
      <c r="B49" s="81"/>
      <c r="C49" s="300">
        <f t="shared" ref="C49:Q49" si="6">C47+C48</f>
        <v>89543.885000000009</v>
      </c>
      <c r="D49" s="103">
        <f t="shared" si="6"/>
        <v>91093.684999999998</v>
      </c>
      <c r="E49" s="103">
        <f t="shared" si="6"/>
        <v>92674.481</v>
      </c>
      <c r="F49" s="103">
        <f t="shared" si="6"/>
        <v>94286.892919999998</v>
      </c>
      <c r="G49" s="103">
        <f t="shared" si="6"/>
        <v>95931.5530784</v>
      </c>
      <c r="H49" s="103">
        <f t="shared" si="6"/>
        <v>97609.106439968004</v>
      </c>
      <c r="I49" s="103">
        <f t="shared" si="6"/>
        <v>99320.210868767375</v>
      </c>
      <c r="J49" s="103">
        <f t="shared" si="6"/>
        <v>101065.53738614272</v>
      </c>
      <c r="K49" s="103">
        <f t="shared" si="6"/>
        <v>102845.77043386557</v>
      </c>
      <c r="L49" s="103">
        <f t="shared" si="6"/>
        <v>104661.6081425429</v>
      </c>
      <c r="M49" s="103">
        <f t="shared" si="6"/>
        <v>106513.76260539374</v>
      </c>
      <c r="N49" s="103">
        <f t="shared" si="6"/>
        <v>108402.96015750163</v>
      </c>
      <c r="O49" s="103">
        <f t="shared" si="6"/>
        <v>110329.94166065168</v>
      </c>
      <c r="P49" s="103">
        <f t="shared" si="6"/>
        <v>112295.46279386472</v>
      </c>
      <c r="Q49" s="103">
        <f t="shared" si="6"/>
        <v>114300.29434974201</v>
      </c>
    </row>
    <row r="50" spans="1:17" hidden="1" outlineLevel="1" x14ac:dyDescent="0.2">
      <c r="A50" s="107" t="s">
        <v>138</v>
      </c>
      <c r="B50" s="70"/>
      <c r="C50" s="302">
        <f>'Data Property 1'!C215</f>
        <v>96000</v>
      </c>
      <c r="D50" s="106">
        <f>'Data Property 1'!D215</f>
        <v>97920</v>
      </c>
      <c r="E50" s="106">
        <f>'Data Property 1'!E215</f>
        <v>99878.400000000009</v>
      </c>
      <c r="F50" s="106">
        <f>'Data Property 1'!F215</f>
        <v>101875.96800000001</v>
      </c>
      <c r="G50" s="106">
        <f>'Data Property 1'!G215</f>
        <v>103913.48736000001</v>
      </c>
      <c r="H50" s="106">
        <f>'Data Property 1'!H215</f>
        <v>105991.75710720001</v>
      </c>
      <c r="I50" s="106">
        <f>'Data Property 1'!I215</f>
        <v>108111.59224934402</v>
      </c>
      <c r="J50" s="106">
        <f>'Data Property 1'!J215</f>
        <v>110273.82409433089</v>
      </c>
      <c r="K50" s="106">
        <f>'Data Property 1'!K215</f>
        <v>112479.30057621752</v>
      </c>
      <c r="L50" s="106">
        <f>'Data Property 1'!L215</f>
        <v>114728.88658774187</v>
      </c>
      <c r="M50" s="106">
        <f>'Data Property 1'!M215</f>
        <v>117023.46431949671</v>
      </c>
      <c r="N50" s="106">
        <f>'Data Property 1'!N215</f>
        <v>119363.93360588665</v>
      </c>
      <c r="O50" s="106">
        <f>'Data Property 1'!O215</f>
        <v>121751.21227800439</v>
      </c>
      <c r="P50" s="106">
        <f>'Data Property 1'!P215</f>
        <v>124186.23652356448</v>
      </c>
      <c r="Q50" s="106">
        <f>'Data Property 1'!Q215</f>
        <v>126669.96125403578</v>
      </c>
    </row>
    <row r="51" spans="1:17" hidden="1" outlineLevel="1" x14ac:dyDescent="0.2">
      <c r="A51" s="107" t="s">
        <v>35</v>
      </c>
      <c r="B51" s="189"/>
      <c r="C51" s="303">
        <f>'Data Property 1'!C216</f>
        <v>23466.115000000002</v>
      </c>
      <c r="D51" s="108">
        <f>'Data Property 1'!D216</f>
        <v>24176.514999999999</v>
      </c>
      <c r="E51" s="108">
        <f>'Data Property 1'!E216</f>
        <v>24901.123000000003</v>
      </c>
      <c r="F51" s="108">
        <f>'Data Property 1'!F216</f>
        <v>25640.223160000001</v>
      </c>
      <c r="G51" s="108">
        <f>'Data Property 1'!G216</f>
        <v>26394.105323200005</v>
      </c>
      <c r="H51" s="108">
        <f>'Data Property 1'!H216</f>
        <v>27163.065129664006</v>
      </c>
      <c r="I51" s="108">
        <f>'Data Property 1'!I216</f>
        <v>27947.404132257288</v>
      </c>
      <c r="J51" s="108">
        <f>'Data Property 1'!J216</f>
        <v>28747.42991490243</v>
      </c>
      <c r="K51" s="108">
        <f>'Data Property 1'!K216</f>
        <v>29563.456213200479</v>
      </c>
      <c r="L51" s="108">
        <f>'Data Property 1'!L216</f>
        <v>30395.803037464495</v>
      </c>
      <c r="M51" s="108">
        <f>'Data Property 1'!M216</f>
        <v>31244.796798213782</v>
      </c>
      <c r="N51" s="108">
        <f>'Data Property 1'!N216</f>
        <v>32110.770434178059</v>
      </c>
      <c r="O51" s="108">
        <f>'Data Property 1'!O216</f>
        <v>32994.063542861622</v>
      </c>
      <c r="P51" s="108">
        <f>'Data Property 1'!P216</f>
        <v>33895.022513718861</v>
      </c>
      <c r="Q51" s="108">
        <f>'Data Property 1'!Q216</f>
        <v>34814.00066399324</v>
      </c>
    </row>
    <row r="52" spans="1:17" hidden="1" outlineLevel="1" x14ac:dyDescent="0.2">
      <c r="A52" s="109" t="s">
        <v>139</v>
      </c>
      <c r="B52" s="81"/>
      <c r="C52" s="304">
        <f t="shared" ref="C52:Q52" si="7">C50+C51</f>
        <v>119466.11500000001</v>
      </c>
      <c r="D52" s="110">
        <f t="shared" si="7"/>
        <v>122096.515</v>
      </c>
      <c r="E52" s="110">
        <f t="shared" si="7"/>
        <v>124779.52300000002</v>
      </c>
      <c r="F52" s="110">
        <f t="shared" si="7"/>
        <v>127516.19116000002</v>
      </c>
      <c r="G52" s="110">
        <f t="shared" si="7"/>
        <v>130307.59268320003</v>
      </c>
      <c r="H52" s="110">
        <f t="shared" si="7"/>
        <v>133154.82223686401</v>
      </c>
      <c r="I52" s="110">
        <f t="shared" si="7"/>
        <v>136058.99638160132</v>
      </c>
      <c r="J52" s="110">
        <f t="shared" si="7"/>
        <v>139021.25400923332</v>
      </c>
      <c r="K52" s="110">
        <f t="shared" si="7"/>
        <v>142042.756789418</v>
      </c>
      <c r="L52" s="110">
        <f t="shared" si="7"/>
        <v>145124.68962520637</v>
      </c>
      <c r="M52" s="110">
        <f t="shared" si="7"/>
        <v>148268.2611177105</v>
      </c>
      <c r="N52" s="110">
        <f t="shared" si="7"/>
        <v>151474.70404006471</v>
      </c>
      <c r="O52" s="110">
        <f t="shared" si="7"/>
        <v>154745.27582086599</v>
      </c>
      <c r="P52" s="110">
        <f t="shared" si="7"/>
        <v>158081.25903728334</v>
      </c>
      <c r="Q52" s="110">
        <f t="shared" si="7"/>
        <v>161483.961918029</v>
      </c>
    </row>
    <row r="53" spans="1:17" hidden="1" outlineLevel="1" x14ac:dyDescent="0.2">
      <c r="A53" s="78" t="s">
        <v>144</v>
      </c>
      <c r="B53" s="351"/>
      <c r="C53" s="305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1:17" hidden="1" outlineLevel="1" x14ac:dyDescent="0.2">
      <c r="A54" s="105" t="s">
        <v>137</v>
      </c>
      <c r="B54" s="70"/>
      <c r="C54" s="302">
        <f>'Data Property 1'!C209</f>
        <v>120016.90166536203</v>
      </c>
      <c r="D54" s="106">
        <f>'Data Property 1'!D209</f>
        <v>122120.44494789628</v>
      </c>
      <c r="E54" s="106">
        <f>'Data Property 1'!E209</f>
        <v>125000.90486044642</v>
      </c>
      <c r="F54" s="106">
        <f>'Data Property 1'!F209</f>
        <v>127896.6990266558</v>
      </c>
      <c r="G54" s="106">
        <f>'Data Property 1'!G209</f>
        <v>130819.08287358485</v>
      </c>
      <c r="H54" s="106">
        <f>'Data Property 1'!H209</f>
        <v>133967.88363099925</v>
      </c>
      <c r="I54" s="106">
        <f>'Data Property 1'!I209</f>
        <v>136966.70249508318</v>
      </c>
      <c r="J54" s="106">
        <f>'Data Property 1'!J209</f>
        <v>140025.51092731656</v>
      </c>
      <c r="K54" s="106">
        <f>'Data Property 1'!K209</f>
        <v>143141.5741429622</v>
      </c>
      <c r="L54" s="106">
        <f>'Data Property 1'!L209</f>
        <v>146330.15190419287</v>
      </c>
      <c r="M54" s="106">
        <f>'Data Property 1'!M209</f>
        <v>149560.17984836543</v>
      </c>
      <c r="N54" s="106">
        <f>'Data Property 1'!N209</f>
        <v>152868.59603582555</v>
      </c>
      <c r="O54" s="106">
        <f>'Data Property 1'!O209</f>
        <v>156246.3807437353</v>
      </c>
      <c r="P54" s="106">
        <f>'Data Property 1'!P209</f>
        <v>159711.53671653394</v>
      </c>
      <c r="Q54" s="106">
        <f>'Data Property 1'!Q209</f>
        <v>163218.65948684877</v>
      </c>
    </row>
    <row r="55" spans="1:17" hidden="1" outlineLevel="1" x14ac:dyDescent="0.2">
      <c r="A55" s="107" t="s">
        <v>35</v>
      </c>
      <c r="B55" s="47"/>
      <c r="C55" s="298">
        <f>-'Data Property 1'!C210</f>
        <v>-32352.368616183954</v>
      </c>
      <c r="D55" s="100">
        <f>-'Data Property 1'!D210</f>
        <v>-33130.679630721621</v>
      </c>
      <c r="E55" s="100">
        <f>-'Data Property 1'!E210</f>
        <v>-34196.449798365175</v>
      </c>
      <c r="F55" s="100">
        <f>-'Data Property 1'!F210</f>
        <v>-35267.893639862647</v>
      </c>
      <c r="G55" s="100">
        <f>-'Data Property 1'!G210</f>
        <v>-36349.175663226393</v>
      </c>
      <c r="H55" s="100">
        <f>-'Data Property 1'!H210</f>
        <v>-37514.23194346972</v>
      </c>
      <c r="I55" s="100">
        <f>-'Data Property 1'!I210</f>
        <v>-38623.79492318078</v>
      </c>
      <c r="J55" s="100">
        <f>-'Data Property 1'!J210</f>
        <v>-39755.554043107128</v>
      </c>
      <c r="K55" s="100">
        <f>-'Data Property 1'!K210</f>
        <v>-40908.497432896009</v>
      </c>
      <c r="L55" s="100">
        <f>-'Data Property 1'!L210</f>
        <v>-42088.271204551362</v>
      </c>
      <c r="M55" s="100">
        <f>-'Data Property 1'!M210</f>
        <v>-43283.381543895208</v>
      </c>
      <c r="N55" s="100">
        <f>-'Data Property 1'!N210</f>
        <v>-44507.495533255453</v>
      </c>
      <c r="O55" s="100">
        <f>-'Data Property 1'!O210</f>
        <v>-45757.275875182058</v>
      </c>
      <c r="P55" s="100">
        <f>-'Data Property 1'!P210</f>
        <v>-47039.383585117554</v>
      </c>
      <c r="Q55" s="100">
        <f>-'Data Property 1'!Q210</f>
        <v>-48337.019010134041</v>
      </c>
    </row>
    <row r="56" spans="1:17" hidden="1" outlineLevel="1" x14ac:dyDescent="0.2">
      <c r="A56" s="107" t="s">
        <v>143</v>
      </c>
      <c r="B56" s="81"/>
      <c r="C56" s="300">
        <f t="shared" ref="C56:Q56" si="8">C54+C55</f>
        <v>87664.533049178077</v>
      </c>
      <c r="D56" s="103">
        <f t="shared" si="8"/>
        <v>88989.765317174664</v>
      </c>
      <c r="E56" s="103">
        <f t="shared" si="8"/>
        <v>90804.455062081252</v>
      </c>
      <c r="F56" s="103">
        <f t="shared" si="8"/>
        <v>92628.805386793159</v>
      </c>
      <c r="G56" s="103">
        <f t="shared" si="8"/>
        <v>94469.907210358448</v>
      </c>
      <c r="H56" s="103">
        <f t="shared" si="8"/>
        <v>96453.65168752952</v>
      </c>
      <c r="I56" s="103">
        <f t="shared" si="8"/>
        <v>98342.907571902411</v>
      </c>
      <c r="J56" s="103">
        <f t="shared" si="8"/>
        <v>100269.95688420943</v>
      </c>
      <c r="K56" s="103">
        <f t="shared" si="8"/>
        <v>102233.07671006619</v>
      </c>
      <c r="L56" s="103">
        <f t="shared" si="8"/>
        <v>104241.88069964151</v>
      </c>
      <c r="M56" s="103">
        <f t="shared" si="8"/>
        <v>106276.79830447023</v>
      </c>
      <c r="N56" s="103">
        <f t="shared" si="8"/>
        <v>108361.1005025701</v>
      </c>
      <c r="O56" s="103">
        <f t="shared" si="8"/>
        <v>110489.10486855323</v>
      </c>
      <c r="P56" s="103">
        <f t="shared" si="8"/>
        <v>112672.15313141639</v>
      </c>
      <c r="Q56" s="103">
        <f t="shared" si="8"/>
        <v>114881.64047671473</v>
      </c>
    </row>
    <row r="57" spans="1:17" hidden="1" outlineLevel="1" x14ac:dyDescent="0.2">
      <c r="A57" s="107" t="s">
        <v>138</v>
      </c>
      <c r="B57" s="70"/>
      <c r="C57" s="302">
        <f>'Data Property 1'!C218</f>
        <v>93016.901665362035</v>
      </c>
      <c r="D57" s="106">
        <f>'Data Property 1'!D218</f>
        <v>94580.444947896278</v>
      </c>
      <c r="E57" s="106">
        <f>'Data Property 1'!E218</f>
        <v>96910.10486044643</v>
      </c>
      <c r="F57" s="106">
        <f>'Data Property 1'!F218</f>
        <v>99244.083026655804</v>
      </c>
      <c r="G57" s="106">
        <f>'Data Property 1'!G218</f>
        <v>101593.41455358487</v>
      </c>
      <c r="H57" s="106">
        <f>'Data Property 1'!H218</f>
        <v>104157.70194459925</v>
      </c>
      <c r="I57" s="106">
        <f>'Data Property 1'!I218</f>
        <v>106560.3171749552</v>
      </c>
      <c r="J57" s="106">
        <f>'Data Property 1'!J218</f>
        <v>109010.99790078599</v>
      </c>
      <c r="K57" s="106">
        <f>'Data Property 1'!K218</f>
        <v>111506.77085590101</v>
      </c>
      <c r="L57" s="106">
        <f>'Data Property 1'!L218</f>
        <v>114062.65255139048</v>
      </c>
      <c r="M57" s="106">
        <f>'Data Property 1'!M218</f>
        <v>116647.33050850699</v>
      </c>
      <c r="N57" s="106">
        <f>'Data Property 1'!N218</f>
        <v>119297.48970916992</v>
      </c>
      <c r="O57" s="106">
        <f>'Data Property 1'!O218</f>
        <v>122003.85229054655</v>
      </c>
      <c r="P57" s="106">
        <f>'Data Property 1'!P218</f>
        <v>124784.15769428143</v>
      </c>
      <c r="Q57" s="106">
        <f>'Data Property 1'!Q218</f>
        <v>127592.73288415121</v>
      </c>
    </row>
    <row r="58" spans="1:17" hidden="1" outlineLevel="1" x14ac:dyDescent="0.2">
      <c r="A58" s="107" t="s">
        <v>35</v>
      </c>
      <c r="B58" s="47"/>
      <c r="C58" s="298">
        <f>-'Data Property 1'!C219</f>
        <v>-22362.368616183954</v>
      </c>
      <c r="D58" s="100">
        <f>-'Data Property 1'!D219</f>
        <v>-22940.879630721625</v>
      </c>
      <c r="E58" s="100">
        <f>-'Data Property 1'!E219</f>
        <v>-23802.85379836518</v>
      </c>
      <c r="F58" s="100">
        <f>-'Data Property 1'!F219</f>
        <v>-24666.425719862647</v>
      </c>
      <c r="G58" s="100">
        <f>-'Data Property 1'!G219</f>
        <v>-25535.678384826402</v>
      </c>
      <c r="H58" s="100">
        <f>-'Data Property 1'!H219</f>
        <v>-26484.464719501724</v>
      </c>
      <c r="I58" s="100">
        <f>-'Data Property 1'!I219</f>
        <v>-27373.432354733424</v>
      </c>
      <c r="J58" s="100">
        <f>-'Data Property 1'!J219</f>
        <v>-28280.184223290817</v>
      </c>
      <c r="K58" s="100">
        <f>-'Data Property 1'!K219</f>
        <v>-29203.620216683372</v>
      </c>
      <c r="L58" s="100">
        <f>-'Data Property 1'!L219</f>
        <v>-30149.296444014479</v>
      </c>
      <c r="M58" s="100">
        <f>-'Data Property 1'!M219</f>
        <v>-31105.627288147585</v>
      </c>
      <c r="N58" s="100">
        <f>-'Data Property 1'!N219</f>
        <v>-32086.186192392874</v>
      </c>
      <c r="O58" s="100">
        <f>-'Data Property 1'!O219</f>
        <v>-33087.540347502225</v>
      </c>
      <c r="P58" s="100">
        <f>-'Data Property 1'!P219</f>
        <v>-34116.253346884128</v>
      </c>
      <c r="Q58" s="100">
        <f>-'Data Property 1'!Q219</f>
        <v>-35155.426167135942</v>
      </c>
    </row>
    <row r="59" spans="1:17" hidden="1" outlineLevel="1" x14ac:dyDescent="0.2">
      <c r="A59" s="109" t="s">
        <v>142</v>
      </c>
      <c r="B59" s="81"/>
      <c r="C59" s="304">
        <f t="shared" ref="C59:Q59" si="9">C57+C58</f>
        <v>70654.533049178077</v>
      </c>
      <c r="D59" s="110">
        <f t="shared" si="9"/>
        <v>71639.565317174653</v>
      </c>
      <c r="E59" s="110">
        <f t="shared" si="9"/>
        <v>73107.251062081254</v>
      </c>
      <c r="F59" s="110">
        <f t="shared" si="9"/>
        <v>74577.65730679316</v>
      </c>
      <c r="G59" s="110">
        <f t="shared" si="9"/>
        <v>76057.736168758463</v>
      </c>
      <c r="H59" s="110">
        <f t="shared" si="9"/>
        <v>77673.237225097517</v>
      </c>
      <c r="I59" s="110">
        <f t="shared" si="9"/>
        <v>79186.884820221778</v>
      </c>
      <c r="J59" s="110">
        <f t="shared" si="9"/>
        <v>80730.813677495171</v>
      </c>
      <c r="K59" s="110">
        <f t="shared" si="9"/>
        <v>82303.150639217638</v>
      </c>
      <c r="L59" s="110">
        <f t="shared" si="9"/>
        <v>83913.356107375992</v>
      </c>
      <c r="M59" s="110">
        <f t="shared" si="9"/>
        <v>85541.703220359399</v>
      </c>
      <c r="N59" s="110">
        <f t="shared" si="9"/>
        <v>87211.303516777058</v>
      </c>
      <c r="O59" s="110">
        <f t="shared" si="9"/>
        <v>88916.311943044333</v>
      </c>
      <c r="P59" s="110">
        <f t="shared" si="9"/>
        <v>90667.9043473973</v>
      </c>
      <c r="Q59" s="110">
        <f t="shared" si="9"/>
        <v>92437.306717015264</v>
      </c>
    </row>
    <row r="60" spans="1:17" collapsed="1" x14ac:dyDescent="0.2">
      <c r="A60" s="210" t="s">
        <v>241</v>
      </c>
      <c r="B60" s="352"/>
      <c r="C60" s="304">
        <f t="shared" ref="C60:Q60" si="10">C56+C59</f>
        <v>158319.06609835615</v>
      </c>
      <c r="D60" s="110">
        <f t="shared" si="10"/>
        <v>160629.33063434932</v>
      </c>
      <c r="E60" s="110">
        <f t="shared" si="10"/>
        <v>163911.70612416251</v>
      </c>
      <c r="F60" s="110">
        <f t="shared" si="10"/>
        <v>167206.46269358631</v>
      </c>
      <c r="G60" s="110">
        <f t="shared" si="10"/>
        <v>170527.6433791169</v>
      </c>
      <c r="H60" s="110">
        <f t="shared" si="10"/>
        <v>174126.88891262704</v>
      </c>
      <c r="I60" s="110">
        <f t="shared" si="10"/>
        <v>177529.79239212419</v>
      </c>
      <c r="J60" s="110">
        <f t="shared" si="10"/>
        <v>181000.77056170459</v>
      </c>
      <c r="K60" s="110">
        <f t="shared" si="10"/>
        <v>184536.22734928381</v>
      </c>
      <c r="L60" s="110">
        <f t="shared" si="10"/>
        <v>188155.2368070175</v>
      </c>
      <c r="M60" s="110">
        <f t="shared" si="10"/>
        <v>191818.50152482963</v>
      </c>
      <c r="N60" s="110">
        <f t="shared" si="10"/>
        <v>195572.40401934716</v>
      </c>
      <c r="O60" s="110">
        <f t="shared" si="10"/>
        <v>199405.41681159756</v>
      </c>
      <c r="P60" s="110">
        <f t="shared" si="10"/>
        <v>203340.05747881369</v>
      </c>
      <c r="Q60" s="110">
        <f t="shared" si="10"/>
        <v>207318.94719372998</v>
      </c>
    </row>
    <row r="61" spans="1:17" x14ac:dyDescent="0.2">
      <c r="A61" s="73" t="s">
        <v>160</v>
      </c>
      <c r="B61" s="342"/>
      <c r="C61" s="306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1:17" hidden="1" outlineLevel="1" x14ac:dyDescent="0.2">
      <c r="A62" s="83" t="s">
        <v>140</v>
      </c>
      <c r="B62" s="60"/>
      <c r="C62" s="296">
        <f t="shared" ref="C62:Q62" si="11">-C48+C55</f>
        <v>1103.7463838160438</v>
      </c>
      <c r="D62" s="97">
        <f t="shared" si="11"/>
        <v>1235.6353692783814</v>
      </c>
      <c r="E62" s="97">
        <f t="shared" si="11"/>
        <v>1098.2692016348228</v>
      </c>
      <c r="F62" s="97">
        <f t="shared" si="11"/>
        <v>973.79744013735763</v>
      </c>
      <c r="G62" s="97">
        <f t="shared" si="11"/>
        <v>858.42693837360275</v>
      </c>
      <c r="H62" s="97">
        <f t="shared" si="11"/>
        <v>678.60041016228934</v>
      </c>
      <c r="I62" s="97">
        <f t="shared" si="11"/>
        <v>573.97177752386779</v>
      </c>
      <c r="J62" s="97">
        <f t="shared" si="11"/>
        <v>467.24569161160616</v>
      </c>
      <c r="K62" s="97">
        <f t="shared" si="11"/>
        <v>359.8359965171112</v>
      </c>
      <c r="L62" s="97">
        <f t="shared" si="11"/>
        <v>246.50659345001623</v>
      </c>
      <c r="M62" s="97">
        <f t="shared" si="11"/>
        <v>139.16951006620366</v>
      </c>
      <c r="N62" s="97">
        <f t="shared" si="11"/>
        <v>24.584241785189079</v>
      </c>
      <c r="O62" s="97">
        <f t="shared" si="11"/>
        <v>-93.476804640602495</v>
      </c>
      <c r="P62" s="97">
        <f t="shared" si="11"/>
        <v>-221.23083316526026</v>
      </c>
      <c r="Q62" s="97">
        <f t="shared" si="11"/>
        <v>-341.42550314270193</v>
      </c>
    </row>
    <row r="63" spans="1:17" hidden="1" outlineLevel="1" x14ac:dyDescent="0.2">
      <c r="A63" s="85" t="s">
        <v>141</v>
      </c>
      <c r="B63" s="76"/>
      <c r="C63" s="299">
        <f t="shared" ref="C63:Q63" si="12">-C51+C58</f>
        <v>-45828.483616183956</v>
      </c>
      <c r="D63" s="101">
        <f t="shared" si="12"/>
        <v>-47117.394630721625</v>
      </c>
      <c r="E63" s="101">
        <f t="shared" si="12"/>
        <v>-48703.976798365184</v>
      </c>
      <c r="F63" s="101">
        <f t="shared" si="12"/>
        <v>-50306.648879862652</v>
      </c>
      <c r="G63" s="101">
        <f t="shared" si="12"/>
        <v>-51929.783708026407</v>
      </c>
      <c r="H63" s="101">
        <f t="shared" si="12"/>
        <v>-53647.52984916573</v>
      </c>
      <c r="I63" s="101">
        <f t="shared" si="12"/>
        <v>-55320.836486990709</v>
      </c>
      <c r="J63" s="101">
        <f t="shared" si="12"/>
        <v>-57027.614138193247</v>
      </c>
      <c r="K63" s="101">
        <f t="shared" si="12"/>
        <v>-58767.076429883848</v>
      </c>
      <c r="L63" s="101">
        <f t="shared" si="12"/>
        <v>-60545.099481478974</v>
      </c>
      <c r="M63" s="101">
        <f t="shared" si="12"/>
        <v>-62350.424086361367</v>
      </c>
      <c r="N63" s="101">
        <f t="shared" si="12"/>
        <v>-64196.956626570929</v>
      </c>
      <c r="O63" s="101">
        <f t="shared" si="12"/>
        <v>-66081.603890363855</v>
      </c>
      <c r="P63" s="101">
        <f t="shared" si="12"/>
        <v>-68011.275860602997</v>
      </c>
      <c r="Q63" s="101">
        <f t="shared" si="12"/>
        <v>-69969.426831129182</v>
      </c>
    </row>
    <row r="64" spans="1:17" collapsed="1" x14ac:dyDescent="0.2">
      <c r="A64" s="111" t="s">
        <v>44</v>
      </c>
      <c r="B64" s="353"/>
      <c r="C64" s="307">
        <f t="shared" ref="C64:Q64" si="13">C62+C63</f>
        <v>-44724.737232367916</v>
      </c>
      <c r="D64" s="112">
        <f t="shared" si="13"/>
        <v>-45881.759261443243</v>
      </c>
      <c r="E64" s="112">
        <f t="shared" si="13"/>
        <v>-47605.707596730361</v>
      </c>
      <c r="F64" s="112">
        <f t="shared" si="13"/>
        <v>-49332.851439725295</v>
      </c>
      <c r="G64" s="112">
        <f t="shared" si="13"/>
        <v>-51071.356769652804</v>
      </c>
      <c r="H64" s="112">
        <f t="shared" si="13"/>
        <v>-52968.929439003441</v>
      </c>
      <c r="I64" s="112">
        <f t="shared" si="13"/>
        <v>-54746.864709466841</v>
      </c>
      <c r="J64" s="112">
        <f t="shared" si="13"/>
        <v>-56560.36844658164</v>
      </c>
      <c r="K64" s="112">
        <f t="shared" si="13"/>
        <v>-58407.240433366736</v>
      </c>
      <c r="L64" s="112">
        <f t="shared" si="13"/>
        <v>-60298.592888028958</v>
      </c>
      <c r="M64" s="112">
        <f t="shared" si="13"/>
        <v>-62211.254576295163</v>
      </c>
      <c r="N64" s="112">
        <f t="shared" si="13"/>
        <v>-64172.37238478574</v>
      </c>
      <c r="O64" s="112">
        <f t="shared" si="13"/>
        <v>-66175.080695004464</v>
      </c>
      <c r="P64" s="112">
        <f t="shared" si="13"/>
        <v>-68232.506693768257</v>
      </c>
      <c r="Q64" s="112">
        <f t="shared" si="13"/>
        <v>-70310.852334271884</v>
      </c>
    </row>
    <row r="65" spans="1:17" x14ac:dyDescent="0.2">
      <c r="A65" s="76"/>
      <c r="B65" s="76"/>
      <c r="C65" s="308"/>
      <c r="D65" s="189"/>
      <c r="E65" s="189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</row>
    <row r="66" spans="1:17" x14ac:dyDescent="0.2">
      <c r="A66" s="104" t="s">
        <v>130</v>
      </c>
      <c r="B66" s="350"/>
      <c r="C66" s="309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</row>
    <row r="67" spans="1:17" x14ac:dyDescent="0.2">
      <c r="A67" s="96" t="str">
        <f>A44</f>
        <v>Total Property Loss (Gain)</v>
      </c>
      <c r="B67" s="346"/>
      <c r="C67" s="296">
        <f t="shared" ref="C67:Q67" si="14">C41</f>
        <v>-1104.1966692759297</v>
      </c>
      <c r="D67" s="97">
        <f t="shared" si="14"/>
        <v>-2267.110104207437</v>
      </c>
      <c r="E67" s="97">
        <f t="shared" si="14"/>
        <v>-1839.5902791071494</v>
      </c>
      <c r="F67" s="97">
        <f t="shared" si="14"/>
        <v>-1387.2699466883969</v>
      </c>
      <c r="G67" s="97">
        <f t="shared" si="14"/>
        <v>-917.99561283030562</v>
      </c>
      <c r="H67" s="97">
        <f t="shared" si="14"/>
        <v>-416.0053252015241</v>
      </c>
      <c r="I67" s="97">
        <f t="shared" si="14"/>
        <v>73.923351222361816</v>
      </c>
      <c r="J67" s="97">
        <f t="shared" si="14"/>
        <v>597.87906291019681</v>
      </c>
      <c r="K67" s="97">
        <f t="shared" si="14"/>
        <v>1141.4125743669865</v>
      </c>
      <c r="L67" s="97">
        <f t="shared" si="14"/>
        <v>1728.0623377972115</v>
      </c>
      <c r="M67" s="97">
        <f t="shared" si="14"/>
        <v>2290.1036653705596</v>
      </c>
      <c r="N67" s="97">
        <f t="shared" si="14"/>
        <v>2896.7721077115639</v>
      </c>
      <c r="O67" s="97">
        <f t="shared" si="14"/>
        <v>3526.041955885823</v>
      </c>
      <c r="P67" s="97">
        <f t="shared" si="14"/>
        <v>4210.3756929949268</v>
      </c>
      <c r="Q67" s="97">
        <f t="shared" si="14"/>
        <v>4855.7166063235964</v>
      </c>
    </row>
    <row r="68" spans="1:17" x14ac:dyDescent="0.2">
      <c r="A68" s="98" t="s">
        <v>131</v>
      </c>
      <c r="B68" s="348"/>
      <c r="C68" s="310">
        <f t="shared" ref="C68:Q68" si="15">C64</f>
        <v>-44724.737232367916</v>
      </c>
      <c r="D68" s="114">
        <f t="shared" si="15"/>
        <v>-45881.759261443243</v>
      </c>
      <c r="E68" s="114">
        <f t="shared" si="15"/>
        <v>-47605.707596730361</v>
      </c>
      <c r="F68" s="114">
        <f t="shared" si="15"/>
        <v>-49332.851439725295</v>
      </c>
      <c r="G68" s="114">
        <f t="shared" si="15"/>
        <v>-51071.356769652804</v>
      </c>
      <c r="H68" s="114">
        <f t="shared" si="15"/>
        <v>-52968.929439003441</v>
      </c>
      <c r="I68" s="114">
        <f t="shared" si="15"/>
        <v>-54746.864709466841</v>
      </c>
      <c r="J68" s="114">
        <f t="shared" si="15"/>
        <v>-56560.36844658164</v>
      </c>
      <c r="K68" s="114">
        <f t="shared" si="15"/>
        <v>-58407.240433366736</v>
      </c>
      <c r="L68" s="114">
        <f t="shared" si="15"/>
        <v>-60298.592888028958</v>
      </c>
      <c r="M68" s="114">
        <f t="shared" si="15"/>
        <v>-62211.254576295163</v>
      </c>
      <c r="N68" s="114">
        <f t="shared" si="15"/>
        <v>-64172.37238478574</v>
      </c>
      <c r="O68" s="114">
        <f t="shared" si="15"/>
        <v>-66175.080695004464</v>
      </c>
      <c r="P68" s="114">
        <f t="shared" si="15"/>
        <v>-68232.506693768257</v>
      </c>
      <c r="Q68" s="114">
        <f t="shared" si="15"/>
        <v>-70310.852334271884</v>
      </c>
    </row>
    <row r="69" spans="1:17" x14ac:dyDescent="0.2">
      <c r="A69" s="98"/>
      <c r="B69" s="348"/>
      <c r="C69" s="310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</row>
    <row r="70" spans="1:17" ht="15.75" x14ac:dyDescent="0.25">
      <c r="A70" s="115" t="s">
        <v>132</v>
      </c>
      <c r="B70" s="354"/>
      <c r="C70" s="311">
        <f t="shared" ref="C70:Q70" si="16">-(C67+C68)</f>
        <v>45828.933901643846</v>
      </c>
      <c r="D70" s="116">
        <f t="shared" si="16"/>
        <v>48148.86936565068</v>
      </c>
      <c r="E70" s="116">
        <f t="shared" si="16"/>
        <v>49445.29787583751</v>
      </c>
      <c r="F70" s="116">
        <f t="shared" si="16"/>
        <v>50720.121386413695</v>
      </c>
      <c r="G70" s="116">
        <f t="shared" si="16"/>
        <v>51989.352382483106</v>
      </c>
      <c r="H70" s="116">
        <f t="shared" si="16"/>
        <v>53384.934764204969</v>
      </c>
      <c r="I70" s="116">
        <f t="shared" si="16"/>
        <v>54672.941358244483</v>
      </c>
      <c r="J70" s="116">
        <f t="shared" si="16"/>
        <v>55962.489383671447</v>
      </c>
      <c r="K70" s="116">
        <f t="shared" si="16"/>
        <v>57265.82785899975</v>
      </c>
      <c r="L70" s="116">
        <f t="shared" si="16"/>
        <v>58570.53055023175</v>
      </c>
      <c r="M70" s="116">
        <f t="shared" si="16"/>
        <v>59921.150910924604</v>
      </c>
      <c r="N70" s="116">
        <f t="shared" si="16"/>
        <v>61275.600277074176</v>
      </c>
      <c r="O70" s="116">
        <f t="shared" si="16"/>
        <v>62649.038739118638</v>
      </c>
      <c r="P70" s="116">
        <f t="shared" si="16"/>
        <v>64022.131000773326</v>
      </c>
      <c r="Q70" s="116">
        <f t="shared" si="16"/>
        <v>65455.135727948291</v>
      </c>
    </row>
    <row r="71" spans="1:17" ht="15.75" x14ac:dyDescent="0.25">
      <c r="A71" s="117" t="s">
        <v>133</v>
      </c>
      <c r="B71" s="355"/>
      <c r="C71" s="312">
        <f>C70/'Input Property 1'!$B$64</f>
        <v>877.10878280658073</v>
      </c>
      <c r="D71" s="118">
        <f>D70/'Input Property 1'!$B$64</f>
        <v>921.5094615435537</v>
      </c>
      <c r="E71" s="118">
        <f>E70/'Input Property 1'!$B$64</f>
        <v>946.32149044665096</v>
      </c>
      <c r="F71" s="118">
        <f>F70/'Input Property 1'!$B$64</f>
        <v>970.7200265342334</v>
      </c>
      <c r="G71" s="118">
        <f>G70/'Input Property 1'!$B$64</f>
        <v>995.01152885135127</v>
      </c>
      <c r="H71" s="118">
        <f>H70/'Input Property 1'!$B$64</f>
        <v>1021.7212395063152</v>
      </c>
      <c r="I71" s="118">
        <f>I70/'Input Property 1'!$B$64</f>
        <v>1046.3720834113776</v>
      </c>
      <c r="J71" s="118">
        <f>J70/'Input Property 1'!$B$64</f>
        <v>1071.0524283956258</v>
      </c>
      <c r="K71" s="118">
        <f>K70/'Input Property 1'!$B$64</f>
        <v>1095.996705435402</v>
      </c>
      <c r="L71" s="118">
        <f>L70/'Input Property 1'!$B$64</f>
        <v>1120.9670918704642</v>
      </c>
      <c r="M71" s="118">
        <f>M70/'Input Property 1'!$B$64</f>
        <v>1146.8162853765475</v>
      </c>
      <c r="N71" s="118">
        <f>N70/'Input Property 1'!$B$64</f>
        <v>1172.7387612837163</v>
      </c>
      <c r="O71" s="118">
        <f>O70/'Input Property 1'!$B$64</f>
        <v>1199.0246648635145</v>
      </c>
      <c r="P71" s="118">
        <f>P70/'Input Property 1'!$B$64</f>
        <v>1225.3039425985326</v>
      </c>
      <c r="Q71" s="118">
        <f>Q70/'Input Property 1'!$B$64</f>
        <v>1252.7298703913548</v>
      </c>
    </row>
    <row r="72" spans="1:17" x14ac:dyDescent="0.2">
      <c r="A72" s="76"/>
      <c r="B72" s="76"/>
      <c r="C72" s="308"/>
      <c r="D72" s="189"/>
      <c r="E72" s="189"/>
      <c r="F72" s="189"/>
      <c r="G72" s="189"/>
      <c r="H72" s="189"/>
      <c r="I72" s="189"/>
      <c r="J72" s="189"/>
      <c r="K72" s="189"/>
      <c r="L72" s="189"/>
      <c r="M72" s="189"/>
      <c r="N72" s="189"/>
      <c r="O72" s="189"/>
      <c r="P72" s="189"/>
      <c r="Q72" s="189"/>
    </row>
    <row r="73" spans="1:17" x14ac:dyDescent="0.2">
      <c r="A73" s="52" t="s">
        <v>134</v>
      </c>
      <c r="B73" s="52"/>
      <c r="C73" s="313">
        <f t="shared" ref="C73:Q73" si="17">C36</f>
        <v>424.28571428571433</v>
      </c>
      <c r="D73" s="53">
        <f t="shared" si="17"/>
        <v>17175.085714285713</v>
      </c>
      <c r="E73" s="53">
        <f t="shared" si="17"/>
        <v>17725.713107142852</v>
      </c>
      <c r="F73" s="53">
        <f t="shared" si="17"/>
        <v>18346.113065892852</v>
      </c>
      <c r="G73" s="53">
        <f t="shared" si="17"/>
        <v>18988.227023199102</v>
      </c>
      <c r="H73" s="53">
        <f t="shared" si="17"/>
        <v>19708.805894848705</v>
      </c>
      <c r="I73" s="53">
        <f t="shared" si="17"/>
        <v>20340.663492926458</v>
      </c>
      <c r="J73" s="53">
        <f t="shared" si="17"/>
        <v>21052.586715178881</v>
      </c>
      <c r="K73" s="53">
        <f t="shared" si="17"/>
        <v>21789.427250210141</v>
      </c>
      <c r="L73" s="53">
        <f t="shared" si="17"/>
        <v>22616.308079192469</v>
      </c>
      <c r="M73" s="53">
        <f t="shared" si="17"/>
        <v>23341.379206106354</v>
      </c>
      <c r="N73" s="53">
        <f t="shared" si="17"/>
        <v>24158.327478320076</v>
      </c>
      <c r="O73" s="53">
        <f t="shared" si="17"/>
        <v>25003.868940061275</v>
      </c>
      <c r="P73" s="53">
        <f t="shared" si="17"/>
        <v>25952.733710094366</v>
      </c>
      <c r="Q73" s="53">
        <f t="shared" si="17"/>
        <v>26784.769505317137</v>
      </c>
    </row>
    <row r="74" spans="1:17" x14ac:dyDescent="0.2">
      <c r="A74" s="52" t="s">
        <v>135</v>
      </c>
      <c r="B74" s="356"/>
      <c r="C74" s="314">
        <f t="shared" ref="C74:Q74" si="18">IF(C68&lt;0,0,C68)</f>
        <v>0</v>
      </c>
      <c r="D74" s="54">
        <f t="shared" si="18"/>
        <v>0</v>
      </c>
      <c r="E74" s="54">
        <f t="shared" si="18"/>
        <v>0</v>
      </c>
      <c r="F74" s="54">
        <f t="shared" si="18"/>
        <v>0</v>
      </c>
      <c r="G74" s="54">
        <f t="shared" si="18"/>
        <v>0</v>
      </c>
      <c r="H74" s="54">
        <f t="shared" si="18"/>
        <v>0</v>
      </c>
      <c r="I74" s="54">
        <f t="shared" si="18"/>
        <v>0</v>
      </c>
      <c r="J74" s="54">
        <f t="shared" si="18"/>
        <v>0</v>
      </c>
      <c r="K74" s="54">
        <f t="shared" si="18"/>
        <v>0</v>
      </c>
      <c r="L74" s="54">
        <f t="shared" si="18"/>
        <v>0</v>
      </c>
      <c r="M74" s="54">
        <f t="shared" si="18"/>
        <v>0</v>
      </c>
      <c r="N74" s="54">
        <f t="shared" si="18"/>
        <v>0</v>
      </c>
      <c r="O74" s="54">
        <f t="shared" si="18"/>
        <v>0</v>
      </c>
      <c r="P74" s="54">
        <f t="shared" si="18"/>
        <v>0</v>
      </c>
      <c r="Q74" s="54">
        <f t="shared" si="18"/>
        <v>0</v>
      </c>
    </row>
    <row r="75" spans="1:17" x14ac:dyDescent="0.2">
      <c r="A75" s="52" t="s">
        <v>136</v>
      </c>
      <c r="B75" s="357"/>
      <c r="C75" s="315">
        <f t="shared" ref="C75:Q75" si="19">IF(C70&gt;0,C70,0)</f>
        <v>45828.933901643846</v>
      </c>
      <c r="D75" s="59">
        <f t="shared" si="19"/>
        <v>48148.86936565068</v>
      </c>
      <c r="E75" s="59">
        <f t="shared" si="19"/>
        <v>49445.29787583751</v>
      </c>
      <c r="F75" s="59">
        <f t="shared" si="19"/>
        <v>50720.121386413695</v>
      </c>
      <c r="G75" s="59">
        <f t="shared" si="19"/>
        <v>51989.352382483106</v>
      </c>
      <c r="H75" s="59">
        <f t="shared" si="19"/>
        <v>53384.934764204969</v>
      </c>
      <c r="I75" s="59">
        <f t="shared" si="19"/>
        <v>54672.941358244483</v>
      </c>
      <c r="J75" s="59">
        <f t="shared" si="19"/>
        <v>55962.489383671447</v>
      </c>
      <c r="K75" s="59">
        <f t="shared" si="19"/>
        <v>57265.82785899975</v>
      </c>
      <c r="L75" s="59">
        <f t="shared" si="19"/>
        <v>58570.53055023175</v>
      </c>
      <c r="M75" s="59">
        <f t="shared" si="19"/>
        <v>59921.150910924604</v>
      </c>
      <c r="N75" s="59">
        <f t="shared" si="19"/>
        <v>61275.600277074176</v>
      </c>
      <c r="O75" s="59">
        <f t="shared" si="19"/>
        <v>62649.038739118638</v>
      </c>
      <c r="P75" s="59">
        <f t="shared" si="19"/>
        <v>64022.131000773326</v>
      </c>
      <c r="Q75" s="59">
        <f t="shared" si="19"/>
        <v>65455.135727948291</v>
      </c>
    </row>
    <row r="76" spans="1:17" ht="13.5" thickBot="1" x14ac:dyDescent="0.25">
      <c r="A76" s="48" t="s">
        <v>86</v>
      </c>
      <c r="B76" s="358"/>
      <c r="C76" s="316">
        <f t="shared" ref="C76:Q76" si="20">SUM(C73:C75)</f>
        <v>46253.219615929564</v>
      </c>
      <c r="D76" s="61">
        <f t="shared" si="20"/>
        <v>65323.955079936393</v>
      </c>
      <c r="E76" s="61">
        <f t="shared" si="20"/>
        <v>67171.01098298037</v>
      </c>
      <c r="F76" s="61">
        <f t="shared" si="20"/>
        <v>69066.234452306555</v>
      </c>
      <c r="G76" s="61">
        <f t="shared" si="20"/>
        <v>70977.579405682205</v>
      </c>
      <c r="H76" s="61">
        <f t="shared" si="20"/>
        <v>73093.74065905367</v>
      </c>
      <c r="I76" s="61">
        <f t="shared" si="20"/>
        <v>75013.604851170938</v>
      </c>
      <c r="J76" s="61">
        <f t="shared" si="20"/>
        <v>77015.076098850332</v>
      </c>
      <c r="K76" s="61">
        <f t="shared" si="20"/>
        <v>79055.255109209887</v>
      </c>
      <c r="L76" s="61">
        <f t="shared" si="20"/>
        <v>81186.838629424223</v>
      </c>
      <c r="M76" s="61">
        <f t="shared" si="20"/>
        <v>83262.530117030954</v>
      </c>
      <c r="N76" s="61">
        <f t="shared" si="20"/>
        <v>85433.927755394252</v>
      </c>
      <c r="O76" s="61">
        <f t="shared" si="20"/>
        <v>87652.907679179916</v>
      </c>
      <c r="P76" s="61">
        <f t="shared" si="20"/>
        <v>89974.864710867696</v>
      </c>
      <c r="Q76" s="61">
        <f t="shared" si="20"/>
        <v>92239.905233265425</v>
      </c>
    </row>
    <row r="77" spans="1:17" ht="13.5" thickTop="1" x14ac:dyDescent="0.2">
      <c r="B77" s="359"/>
      <c r="C77" s="198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</row>
    <row r="78" spans="1:17" x14ac:dyDescent="0.2">
      <c r="A78" s="46" t="s">
        <v>159</v>
      </c>
      <c r="C78" s="317">
        <f>'Data Property 1'!C161-'Input Property 1'!B20</f>
        <v>23</v>
      </c>
      <c r="D78" s="68">
        <f>'Data Property 1'!D161-'Data Property 1'!C161</f>
        <v>366</v>
      </c>
      <c r="E78" s="68">
        <f>'Data Property 1'!E161-'Data Property 1'!D161</f>
        <v>365</v>
      </c>
      <c r="F78" s="68">
        <f>'Data Property 1'!F161-'Data Property 1'!E161</f>
        <v>365</v>
      </c>
      <c r="G78" s="68">
        <f>'Data Property 1'!G161-'Data Property 1'!F161</f>
        <v>365</v>
      </c>
      <c r="H78" s="68">
        <f>'Data Property 1'!H161-'Data Property 1'!G161</f>
        <v>366</v>
      </c>
      <c r="I78" s="68">
        <f>'Data Property 1'!I161-'Data Property 1'!H161</f>
        <v>365</v>
      </c>
      <c r="J78" s="68">
        <f>'Data Property 1'!J161-'Data Property 1'!I161</f>
        <v>365</v>
      </c>
      <c r="K78" s="68">
        <f>'Data Property 1'!K161-'Data Property 1'!J161</f>
        <v>365</v>
      </c>
      <c r="L78" s="68">
        <f>'Data Property 1'!L161-'Data Property 1'!K161</f>
        <v>366</v>
      </c>
      <c r="M78" s="68">
        <f>'Data Property 1'!M161-'Data Property 1'!L161</f>
        <v>365</v>
      </c>
      <c r="N78" s="68">
        <f>'Data Property 1'!N161-'Data Property 1'!M161</f>
        <v>365</v>
      </c>
      <c r="O78" s="68">
        <f>'Data Property 1'!O161-'Data Property 1'!N161</f>
        <v>365</v>
      </c>
      <c r="P78" s="68">
        <f>'Data Property 1'!P161-'Data Property 1'!O161</f>
        <v>366</v>
      </c>
      <c r="Q78" s="68">
        <f>'Data Property 1'!Q161-'Data Property 1'!P161</f>
        <v>365</v>
      </c>
    </row>
    <row r="79" spans="1:17" x14ac:dyDescent="0.2">
      <c r="A79" s="46" t="s">
        <v>152</v>
      </c>
      <c r="C79" s="318">
        <f t="shared" ref="C79:Q79" si="21">C78-(C35*7)</f>
        <v>-327</v>
      </c>
      <c r="D79" s="65">
        <f t="shared" si="21"/>
        <v>16</v>
      </c>
      <c r="E79" s="65">
        <f t="shared" si="21"/>
        <v>15</v>
      </c>
      <c r="F79" s="65">
        <f t="shared" si="21"/>
        <v>15</v>
      </c>
      <c r="G79" s="65">
        <f t="shared" si="21"/>
        <v>15</v>
      </c>
      <c r="H79" s="65">
        <f t="shared" si="21"/>
        <v>16</v>
      </c>
      <c r="I79" s="65">
        <f t="shared" si="21"/>
        <v>15</v>
      </c>
      <c r="J79" s="65">
        <f t="shared" si="21"/>
        <v>15</v>
      </c>
      <c r="K79" s="65">
        <f t="shared" si="21"/>
        <v>15</v>
      </c>
      <c r="L79" s="65">
        <f t="shared" si="21"/>
        <v>16</v>
      </c>
      <c r="M79" s="65">
        <f t="shared" si="21"/>
        <v>15</v>
      </c>
      <c r="N79" s="65">
        <f t="shared" si="21"/>
        <v>15</v>
      </c>
      <c r="O79" s="65">
        <f t="shared" si="21"/>
        <v>15</v>
      </c>
      <c r="P79" s="65">
        <f t="shared" si="21"/>
        <v>16</v>
      </c>
      <c r="Q79" s="65">
        <f t="shared" si="21"/>
        <v>15</v>
      </c>
    </row>
    <row r="80" spans="1:17" x14ac:dyDescent="0.2">
      <c r="A80" s="49" t="s">
        <v>116</v>
      </c>
      <c r="B80" s="49"/>
      <c r="C80" s="319">
        <f>C40/'Input Property 1'!$B$5*365/C78</f>
        <v>1.6711498383422098E-2</v>
      </c>
      <c r="D80" s="50">
        <f>D40/'Input Property 1'!$B$5</f>
        <v>4.262759850657892E-2</v>
      </c>
      <c r="E80" s="50">
        <f>E40/'Input Property 1'!$B$5</f>
        <v>4.3994224782563977E-2</v>
      </c>
      <c r="F80" s="50">
        <f>F40/'Input Property 1'!$B$5</f>
        <v>4.5534022649953716E-2</v>
      </c>
      <c r="G80" s="50">
        <f>G40/'Input Property 1'!$B$5</f>
        <v>4.7127713442702099E-2</v>
      </c>
      <c r="H80" s="50">
        <f>H40/'Input Property 1'!$B$5</f>
        <v>4.8916149747707194E-2</v>
      </c>
      <c r="I80" s="50">
        <f>I40/'Input Property 1'!$B$5</f>
        <v>5.0484384832658553E-2</v>
      </c>
      <c r="J80" s="50">
        <f>J40/'Input Property 1'!$B$5</f>
        <v>5.2251338301801592E-2</v>
      </c>
      <c r="K80" s="50">
        <f>K40/'Input Property 1'!$B$5</f>
        <v>5.4080135142364649E-2</v>
      </c>
      <c r="L80" s="50">
        <f>L40/'Input Property 1'!$B$5</f>
        <v>5.613240693751078E-2</v>
      </c>
      <c r="M80" s="50">
        <f>M40/'Input Property 1'!$B$5</f>
        <v>5.793199276787956E-2</v>
      </c>
      <c r="N80" s="50">
        <f>N40/'Input Property 1'!$B$5</f>
        <v>5.9959612514755345E-2</v>
      </c>
      <c r="O80" s="50">
        <f>O40/'Input Property 1'!$B$5</f>
        <v>6.2058198952771773E-2</v>
      </c>
      <c r="P80" s="50">
        <f>P40/'Input Property 1'!$B$5</f>
        <v>6.441322804123592E-2</v>
      </c>
      <c r="Q80" s="50">
        <f>Q40/'Input Property 1'!$B$5</f>
        <v>6.6478294173182934E-2</v>
      </c>
    </row>
    <row r="81" spans="1:10" x14ac:dyDescent="0.2">
      <c r="A81" s="76"/>
      <c r="B81" s="76"/>
      <c r="C81" s="308"/>
      <c r="D81" s="204"/>
      <c r="E81" s="252"/>
      <c r="F81" s="253"/>
      <c r="G81" s="205"/>
      <c r="H81" s="206"/>
      <c r="I81" s="207"/>
      <c r="J81" s="76"/>
    </row>
    <row r="82" spans="1:10" x14ac:dyDescent="0.2">
      <c r="A82" s="76"/>
      <c r="B82" s="76"/>
      <c r="C82" s="308"/>
      <c r="D82" s="204"/>
      <c r="E82" s="252"/>
      <c r="F82" s="253"/>
      <c r="G82" s="205"/>
      <c r="H82" s="206"/>
      <c r="I82" s="207"/>
      <c r="J82" s="76"/>
    </row>
    <row r="83" spans="1:10" x14ac:dyDescent="0.2">
      <c r="A83" s="76"/>
      <c r="B83" s="76"/>
      <c r="C83" s="308"/>
      <c r="D83" s="204"/>
      <c r="E83" s="252"/>
      <c r="F83" s="253"/>
      <c r="G83" s="205"/>
      <c r="H83" s="206"/>
      <c r="I83" s="207"/>
      <c r="J83" s="76"/>
    </row>
    <row r="84" spans="1:10" x14ac:dyDescent="0.2">
      <c r="A84" s="76"/>
      <c r="B84" s="76"/>
      <c r="C84" s="308"/>
      <c r="D84" s="204"/>
      <c r="E84" s="252"/>
      <c r="F84" s="253"/>
      <c r="G84" s="205"/>
      <c r="H84" s="206"/>
      <c r="I84" s="207"/>
      <c r="J84" s="76"/>
    </row>
    <row r="85" spans="1:10" x14ac:dyDescent="0.2">
      <c r="A85" s="76"/>
      <c r="B85" s="76"/>
      <c r="C85" s="308"/>
      <c r="D85" s="204"/>
      <c r="E85" s="252"/>
      <c r="F85" s="253"/>
      <c r="G85" s="205"/>
      <c r="H85" s="206"/>
      <c r="I85" s="207"/>
      <c r="J85" s="76"/>
    </row>
    <row r="86" spans="1:10" x14ac:dyDescent="0.2">
      <c r="A86" s="76"/>
      <c r="B86" s="76"/>
      <c r="C86" s="308"/>
      <c r="D86" s="204"/>
      <c r="E86" s="252"/>
      <c r="F86" s="253"/>
      <c r="G86" s="205"/>
      <c r="H86" s="206"/>
      <c r="I86" s="207"/>
      <c r="J86" s="76"/>
    </row>
    <row r="87" spans="1:10" x14ac:dyDescent="0.2">
      <c r="A87" s="76"/>
      <c r="B87" s="76"/>
      <c r="C87" s="308"/>
      <c r="D87" s="204"/>
      <c r="E87" s="252"/>
      <c r="F87" s="253"/>
      <c r="G87" s="205"/>
      <c r="H87" s="206"/>
      <c r="I87" s="207"/>
      <c r="J87" s="76"/>
    </row>
    <row r="88" spans="1:10" x14ac:dyDescent="0.2">
      <c r="A88" s="76"/>
      <c r="B88" s="76"/>
      <c r="C88" s="308"/>
      <c r="D88" s="204"/>
      <c r="E88" s="252"/>
      <c r="F88" s="253"/>
      <c r="G88" s="205"/>
      <c r="H88" s="206"/>
      <c r="I88" s="207"/>
      <c r="J88" s="76"/>
    </row>
    <row r="89" spans="1:10" x14ac:dyDescent="0.2">
      <c r="A89" s="76"/>
      <c r="B89" s="76"/>
      <c r="C89" s="308"/>
      <c r="D89" s="204"/>
      <c r="E89" s="252"/>
      <c r="F89" s="253"/>
      <c r="G89" s="205"/>
      <c r="H89" s="206"/>
      <c r="I89" s="207"/>
      <c r="J89" s="76"/>
    </row>
    <row r="90" spans="1:10" x14ac:dyDescent="0.2">
      <c r="A90" s="76"/>
      <c r="B90" s="76"/>
      <c r="C90" s="308"/>
      <c r="D90" s="204"/>
      <c r="E90" s="252"/>
      <c r="F90" s="253"/>
      <c r="G90" s="205"/>
      <c r="H90" s="206"/>
      <c r="I90" s="207"/>
      <c r="J90" s="76"/>
    </row>
    <row r="91" spans="1:10" x14ac:dyDescent="0.2">
      <c r="A91" s="76"/>
      <c r="B91" s="76"/>
      <c r="C91" s="308"/>
      <c r="D91" s="204"/>
      <c r="E91" s="252"/>
      <c r="F91" s="253"/>
      <c r="G91" s="205"/>
      <c r="H91" s="206"/>
      <c r="I91" s="207"/>
      <c r="J91" s="76"/>
    </row>
    <row r="92" spans="1:10" x14ac:dyDescent="0.2">
      <c r="A92" s="76"/>
      <c r="B92" s="76"/>
      <c r="C92" s="308"/>
      <c r="D92" s="204"/>
      <c r="E92" s="252"/>
      <c r="F92" s="253"/>
      <c r="G92" s="205"/>
      <c r="H92" s="206"/>
      <c r="I92" s="207"/>
      <c r="J92" s="76"/>
    </row>
    <row r="93" spans="1:10" x14ac:dyDescent="0.2">
      <c r="A93" s="76"/>
      <c r="B93" s="76"/>
      <c r="C93" s="308"/>
      <c r="D93" s="204"/>
      <c r="E93" s="252"/>
      <c r="F93" s="253"/>
      <c r="G93" s="205"/>
      <c r="H93" s="206"/>
      <c r="I93" s="207"/>
      <c r="J93" s="76"/>
    </row>
    <row r="94" spans="1:10" x14ac:dyDescent="0.2">
      <c r="A94" s="76"/>
      <c r="B94" s="76"/>
      <c r="C94" s="308"/>
      <c r="D94" s="204"/>
      <c r="E94" s="252"/>
      <c r="F94" s="253"/>
      <c r="G94" s="205"/>
      <c r="H94" s="206"/>
      <c r="I94" s="207"/>
      <c r="J94" s="76"/>
    </row>
    <row r="95" spans="1:10" x14ac:dyDescent="0.2">
      <c r="A95" s="76"/>
      <c r="B95" s="76"/>
      <c r="C95" s="308"/>
      <c r="D95" s="204"/>
      <c r="E95" s="252"/>
      <c r="F95" s="253"/>
      <c r="G95" s="205"/>
      <c r="H95" s="206"/>
      <c r="I95" s="207"/>
      <c r="J95" s="76"/>
    </row>
    <row r="96" spans="1:10" x14ac:dyDescent="0.2">
      <c r="A96" s="76"/>
      <c r="B96" s="76"/>
      <c r="C96" s="308"/>
      <c r="D96" s="204"/>
      <c r="E96" s="252"/>
      <c r="F96" s="253"/>
      <c r="G96" s="205"/>
      <c r="H96" s="206"/>
      <c r="I96" s="207"/>
      <c r="J96" s="76"/>
    </row>
    <row r="97" spans="1:17" s="76" customFormat="1" x14ac:dyDescent="0.2">
      <c r="C97" s="308"/>
      <c r="D97" s="204"/>
      <c r="E97" s="252"/>
      <c r="F97" s="253"/>
      <c r="G97" s="205"/>
      <c r="H97" s="206"/>
      <c r="I97" s="207"/>
    </row>
    <row r="98" spans="1:17" s="374" customFormat="1" ht="18" x14ac:dyDescent="0.25">
      <c r="A98" s="375" t="s">
        <v>249</v>
      </c>
      <c r="B98" s="375"/>
      <c r="C98" s="376"/>
      <c r="D98" s="377"/>
      <c r="E98" s="377"/>
      <c r="F98" s="377"/>
      <c r="G98" s="377"/>
      <c r="H98" s="377"/>
      <c r="I98" s="377"/>
      <c r="J98" s="377"/>
      <c r="K98" s="377"/>
      <c r="L98" s="377"/>
      <c r="M98" s="377"/>
      <c r="N98" s="377"/>
      <c r="O98" s="377"/>
      <c r="P98" s="377"/>
      <c r="Q98" s="377"/>
    </row>
    <row r="99" spans="1:17" s="60" customFormat="1" x14ac:dyDescent="0.2">
      <c r="C99" s="292"/>
    </row>
    <row r="100" spans="1:17" x14ac:dyDescent="0.2">
      <c r="A100" s="129"/>
      <c r="B100" s="129"/>
      <c r="C100" s="321" t="s">
        <v>95</v>
      </c>
      <c r="D100" s="130" t="s">
        <v>96</v>
      </c>
      <c r="E100" s="130" t="s">
        <v>97</v>
      </c>
      <c r="F100" s="130" t="s">
        <v>98</v>
      </c>
      <c r="G100" s="130" t="s">
        <v>99</v>
      </c>
      <c r="H100" s="130" t="s">
        <v>100</v>
      </c>
      <c r="I100" s="130" t="s">
        <v>101</v>
      </c>
      <c r="J100" s="130" t="s">
        <v>102</v>
      </c>
      <c r="K100" s="130" t="s">
        <v>103</v>
      </c>
      <c r="L100" s="130" t="s">
        <v>104</v>
      </c>
      <c r="M100" s="130" t="s">
        <v>105</v>
      </c>
      <c r="N100" s="130" t="s">
        <v>106</v>
      </c>
      <c r="O100" s="130" t="s">
        <v>107</v>
      </c>
      <c r="P100" s="130" t="s">
        <v>108</v>
      </c>
      <c r="Q100" s="130" t="s">
        <v>109</v>
      </c>
    </row>
    <row r="101" spans="1:17" x14ac:dyDescent="0.2">
      <c r="A101" s="131" t="s">
        <v>94</v>
      </c>
      <c r="B101" s="131"/>
      <c r="C101" s="322"/>
      <c r="D101" s="260"/>
      <c r="E101" s="260"/>
      <c r="F101" s="260"/>
      <c r="G101" s="260"/>
      <c r="H101" s="260"/>
      <c r="I101" s="260"/>
      <c r="J101" s="260"/>
      <c r="K101" s="260"/>
      <c r="L101" s="260"/>
      <c r="M101" s="260"/>
      <c r="N101" s="260"/>
      <c r="O101" s="260"/>
      <c r="P101" s="260"/>
      <c r="Q101" s="260"/>
    </row>
    <row r="102" spans="1:17" x14ac:dyDescent="0.2">
      <c r="A102" s="132" t="s">
        <v>10</v>
      </c>
      <c r="B102" s="132"/>
      <c r="C102" s="323">
        <f>'Input Property 1'!B3+(('Input Property 1'!B3*'Input Property 1'!B52)*('Data Property 1'!C162/365))</f>
        <v>402016.43835616438</v>
      </c>
      <c r="D102" s="261">
        <f>C102+((C102*'Input Property 1'!C52)*('Data Property 1'!D162/('Data Property 1'!D161-'Data Property 1'!C161)))</f>
        <v>434177.75342465751</v>
      </c>
      <c r="E102" s="261">
        <f>D102+((D102*'Input Property 1'!D52)*('Data Property 1'!E162/('Data Property 1'!E161-'Data Property 1'!D161)))</f>
        <v>468911.97369863011</v>
      </c>
      <c r="F102" s="261">
        <f>E102+((E102*'Input Property 1'!E52)*('Data Property 1'!F162/('Data Property 1'!F161-'Data Property 1'!E161)))</f>
        <v>506424.93159452052</v>
      </c>
      <c r="G102" s="261">
        <f>F102+((F102*'Input Property 1'!F52)*('Data Property 1'!G162/('Data Property 1'!G161-'Data Property 1'!F161)))</f>
        <v>546938.92612208216</v>
      </c>
      <c r="H102" s="261">
        <f>G102+((G102*'Input Property 1'!G52)*('Data Property 1'!H162/('Data Property 1'!H161-'Data Property 1'!G161)))</f>
        <v>590694.04021184868</v>
      </c>
      <c r="I102" s="261">
        <f>H102+((H102*'Input Property 1'!H52)*('Data Property 1'!I162/('Data Property 1'!I161-'Data Property 1'!H161)))</f>
        <v>637949.56342879659</v>
      </c>
      <c r="J102" s="261">
        <f>I102+((I102*'Input Property 1'!I52)*('Data Property 1'!J162/('Data Property 1'!J161-'Data Property 1'!I161)))</f>
        <v>688985.52850310027</v>
      </c>
      <c r="K102" s="261">
        <f>J102+((J102*'Input Property 1'!J52)*('Data Property 1'!K162/('Data Property 1'!K161-'Data Property 1'!J161)))</f>
        <v>744104.37078334833</v>
      </c>
      <c r="L102" s="261">
        <f>K102+((K102*'Input Property 1'!K52)*('Data Property 1'!L162/('Data Property 1'!L161-'Data Property 1'!K161)))</f>
        <v>803632.72044601617</v>
      </c>
      <c r="M102" s="261">
        <f>L102+((L102*'Input Property 1'!L52)*('Data Property 1'!M162/('Data Property 1'!M161-'Data Property 1'!L161)))</f>
        <v>867923.33808169747</v>
      </c>
      <c r="N102" s="261">
        <f>M102+((M102*'Input Property 1'!M52)*('Data Property 1'!N162/('Data Property 1'!N161-'Data Property 1'!M161)))</f>
        <v>937357.2051282333</v>
      </c>
      <c r="O102" s="261">
        <f>N102+((N102*'Input Property 1'!N52)*('Data Property 1'!O162/('Data Property 1'!O161-'Data Property 1'!N161)))</f>
        <v>1012345.781538492</v>
      </c>
      <c r="P102" s="261">
        <f>O102+((O102*'Input Property 1'!O52)*('Data Property 1'!P162/('Data Property 1'!P161-'Data Property 1'!O161)))</f>
        <v>1093333.4440615713</v>
      </c>
      <c r="Q102" s="261">
        <f>P102+((P102*'Input Property 1'!P52)*('Data Property 1'!Q162/('Data Property 1'!Q161-'Data Property 1'!P161)))</f>
        <v>1180800.1195864971</v>
      </c>
    </row>
    <row r="103" spans="1:17" x14ac:dyDescent="0.2">
      <c r="A103" s="132" t="s">
        <v>39</v>
      </c>
      <c r="B103" s="132"/>
      <c r="C103" s="323">
        <f>'Input Property 1'!B14</f>
        <v>361500</v>
      </c>
      <c r="D103" s="261">
        <f>IF('Input Property 1'!$B$33&gt;'Data Property 1'!C161,C103,0)</f>
        <v>361500</v>
      </c>
      <c r="E103" s="261">
        <f>IF('Input Property 1'!$B$33&gt;'Data Property 1'!D161,D103,0)</f>
        <v>361500</v>
      </c>
      <c r="F103" s="261">
        <f>IF('Input Property 1'!$B$33&gt;'Data Property 1'!E161,E103,0)</f>
        <v>361500</v>
      </c>
      <c r="G103" s="261">
        <f>IF('Input Property 1'!$B$33&gt;'Data Property 1'!F161,F103,0)</f>
        <v>361500</v>
      </c>
      <c r="H103" s="261">
        <f>IF('Input Property 1'!$B$33&gt;'Data Property 1'!G161,G103,0)</f>
        <v>361500</v>
      </c>
      <c r="I103" s="261">
        <f>IF('Input Property 1'!$B$33&gt;'Data Property 1'!H161,H103,0)</f>
        <v>361500</v>
      </c>
      <c r="J103" s="261">
        <f>IF('Input Property 1'!$B$33&gt;'Data Property 1'!I161,I103,0)</f>
        <v>361500</v>
      </c>
      <c r="K103" s="261">
        <f>IF('Input Property 1'!$B$33&gt;'Data Property 1'!J161,J103,0)</f>
        <v>361500</v>
      </c>
      <c r="L103" s="261">
        <f t="shared" ref="L103:Q103" si="22">K103</f>
        <v>361500</v>
      </c>
      <c r="M103" s="261">
        <f t="shared" si="22"/>
        <v>361500</v>
      </c>
      <c r="N103" s="261">
        <f t="shared" si="22"/>
        <v>361500</v>
      </c>
      <c r="O103" s="261">
        <f t="shared" si="22"/>
        <v>361500</v>
      </c>
      <c r="P103" s="261">
        <f t="shared" si="22"/>
        <v>361500</v>
      </c>
      <c r="Q103" s="261">
        <f t="shared" si="22"/>
        <v>361500</v>
      </c>
    </row>
    <row r="104" spans="1:17" x14ac:dyDescent="0.2">
      <c r="A104" s="248" t="s">
        <v>11</v>
      </c>
      <c r="B104" s="248"/>
      <c r="C104" s="323">
        <f>'Input Property 1'!$B$4</f>
        <v>40000</v>
      </c>
      <c r="D104" s="261">
        <f>'Input Property 1'!$B$4</f>
        <v>40000</v>
      </c>
      <c r="E104" s="261">
        <f>'Input Property 1'!$B$4</f>
        <v>40000</v>
      </c>
      <c r="F104" s="261">
        <f>'Input Property 1'!$B$4</f>
        <v>40000</v>
      </c>
      <c r="G104" s="261">
        <f>'Input Property 1'!$B$4</f>
        <v>40000</v>
      </c>
      <c r="H104" s="261">
        <f>'Input Property 1'!$B$4</f>
        <v>40000</v>
      </c>
      <c r="I104" s="261">
        <f>'Input Property 1'!$B$4</f>
        <v>40000</v>
      </c>
      <c r="J104" s="261">
        <f>'Input Property 1'!$B$4</f>
        <v>40000</v>
      </c>
      <c r="K104" s="261">
        <f>'Input Property 1'!$B$4</f>
        <v>40000</v>
      </c>
      <c r="L104" s="261">
        <f>'Input Property 1'!$B$4</f>
        <v>40000</v>
      </c>
      <c r="M104" s="261">
        <f>'Input Property 1'!$B$4</f>
        <v>40000</v>
      </c>
      <c r="N104" s="261">
        <f>'Input Property 1'!$B$4</f>
        <v>40000</v>
      </c>
      <c r="O104" s="261">
        <f>'Input Property 1'!$B$4</f>
        <v>40000</v>
      </c>
      <c r="P104" s="261">
        <f>'Input Property 1'!$B$4</f>
        <v>40000</v>
      </c>
      <c r="Q104" s="261">
        <f>'Input Property 1'!$B$4</f>
        <v>40000</v>
      </c>
    </row>
    <row r="105" spans="1:17" x14ac:dyDescent="0.2">
      <c r="A105" s="132" t="s">
        <v>84</v>
      </c>
      <c r="B105" s="132"/>
      <c r="C105" s="324">
        <f t="shared" ref="C105:Q105" si="23">C103/C102</f>
        <v>0.89921696107294735</v>
      </c>
      <c r="D105" s="262">
        <f t="shared" si="23"/>
        <v>0.83260829728976615</v>
      </c>
      <c r="E105" s="262">
        <f t="shared" si="23"/>
        <v>0.77093360860163529</v>
      </c>
      <c r="F105" s="262">
        <f t="shared" si="23"/>
        <v>0.71382741537188454</v>
      </c>
      <c r="G105" s="262">
        <f t="shared" si="23"/>
        <v>0.66095131052952272</v>
      </c>
      <c r="H105" s="262">
        <f t="shared" si="23"/>
        <v>0.61199195419400254</v>
      </c>
      <c r="I105" s="262">
        <f t="shared" si="23"/>
        <v>0.56665921684629861</v>
      </c>
      <c r="J105" s="262">
        <f t="shared" si="23"/>
        <v>0.52468446004286917</v>
      </c>
      <c r="K105" s="262">
        <f t="shared" si="23"/>
        <v>0.48581894448413809</v>
      </c>
      <c r="L105" s="262">
        <f t="shared" si="23"/>
        <v>0.44983235600383159</v>
      </c>
      <c r="M105" s="262">
        <f t="shared" si="23"/>
        <v>0.41651144074428847</v>
      </c>
      <c r="N105" s="262">
        <f t="shared" si="23"/>
        <v>0.38565874142989676</v>
      </c>
      <c r="O105" s="262">
        <f t="shared" si="23"/>
        <v>0.35709142724990439</v>
      </c>
      <c r="P105" s="262">
        <f t="shared" si="23"/>
        <v>0.33064021041657815</v>
      </c>
      <c r="Q105" s="262">
        <f t="shared" si="23"/>
        <v>0.30614834297831306</v>
      </c>
    </row>
    <row r="106" spans="1:17" x14ac:dyDescent="0.2">
      <c r="A106" s="132" t="s">
        <v>110</v>
      </c>
      <c r="B106" s="132"/>
      <c r="C106" s="325">
        <f t="shared" ref="C106:Q106" si="24">C102-C103</f>
        <v>40516.438356164377</v>
      </c>
      <c r="D106" s="263">
        <f t="shared" si="24"/>
        <v>72677.753424657509</v>
      </c>
      <c r="E106" s="263">
        <f t="shared" si="24"/>
        <v>107411.97369863011</v>
      </c>
      <c r="F106" s="263">
        <f t="shared" si="24"/>
        <v>144924.93159452052</v>
      </c>
      <c r="G106" s="263">
        <f t="shared" si="24"/>
        <v>185438.92612208216</v>
      </c>
      <c r="H106" s="263">
        <f t="shared" si="24"/>
        <v>229194.04021184868</v>
      </c>
      <c r="I106" s="263">
        <f t="shared" si="24"/>
        <v>276449.56342879659</v>
      </c>
      <c r="J106" s="263">
        <f t="shared" si="24"/>
        <v>327485.52850310027</v>
      </c>
      <c r="K106" s="263">
        <f t="shared" si="24"/>
        <v>382604.37078334833</v>
      </c>
      <c r="L106" s="263">
        <f t="shared" si="24"/>
        <v>442132.72044601617</v>
      </c>
      <c r="M106" s="263">
        <f t="shared" si="24"/>
        <v>506423.33808169747</v>
      </c>
      <c r="N106" s="263">
        <f t="shared" si="24"/>
        <v>575857.2051282333</v>
      </c>
      <c r="O106" s="263">
        <f t="shared" si="24"/>
        <v>650845.78153849195</v>
      </c>
      <c r="P106" s="263">
        <f t="shared" si="24"/>
        <v>731833.44406157127</v>
      </c>
      <c r="Q106" s="263">
        <f t="shared" si="24"/>
        <v>819300.11958649708</v>
      </c>
    </row>
    <row r="107" spans="1:17" ht="22.5" x14ac:dyDescent="0.2">
      <c r="A107" s="133" t="s">
        <v>111</v>
      </c>
      <c r="B107" s="133"/>
      <c r="C107" s="325">
        <f>(C102*'Input Property 1'!B56)-C103</f>
        <v>-39886.849315068452</v>
      </c>
      <c r="D107" s="263">
        <f>(D102*'Input Property 1'!C56)-D103</f>
        <v>-14157.797260273946</v>
      </c>
      <c r="E107" s="263">
        <f>(E102*'Input Property 1'!D56)-E103</f>
        <v>13629.578958904138</v>
      </c>
      <c r="F107" s="263">
        <f>(F102*'Input Property 1'!E56)-F103</f>
        <v>43639.945275616425</v>
      </c>
      <c r="G107" s="263">
        <f>(G102*'Input Property 1'!F56)-G103</f>
        <v>76051.140897665755</v>
      </c>
      <c r="H107" s="263">
        <f>(H102*'Input Property 1'!G56)-H103</f>
        <v>111055.23216947896</v>
      </c>
      <c r="I107" s="263">
        <f>(I102*'Input Property 1'!H56)-I103</f>
        <v>148859.65074303729</v>
      </c>
      <c r="J107" s="263">
        <f>(J102*'Input Property 1'!I56)-J103</f>
        <v>189688.42280248029</v>
      </c>
      <c r="K107" s="263">
        <f>(K102*'Input Property 1'!J56)-K103</f>
        <v>233783.49662667874</v>
      </c>
      <c r="L107" s="263">
        <f>(L102*'Input Property 1'!K56)-L103</f>
        <v>281406.17635681294</v>
      </c>
      <c r="M107" s="263">
        <f>(M102*'Input Property 1'!L56)-M103</f>
        <v>332838.67046535807</v>
      </c>
      <c r="N107" s="263">
        <f>(N102*'Input Property 1'!M56)-N103</f>
        <v>388385.76410258666</v>
      </c>
      <c r="O107" s="263">
        <f>(O102*'Input Property 1'!N56)-O103</f>
        <v>448376.62523079361</v>
      </c>
      <c r="P107" s="263">
        <f>(P102*'Input Property 1'!O56)-P103</f>
        <v>513166.75524925708</v>
      </c>
      <c r="Q107" s="263">
        <f>(Q102*'Input Property 1'!P56)-Q103</f>
        <v>583140.09566919773</v>
      </c>
    </row>
    <row r="108" spans="1:17" x14ac:dyDescent="0.2">
      <c r="A108" s="134" t="s">
        <v>208</v>
      </c>
      <c r="B108" s="134"/>
      <c r="C108" s="326">
        <f>C102-C103</f>
        <v>40516.438356164377</v>
      </c>
      <c r="D108" s="264">
        <f t="shared" ref="D108:Q108" si="25">IF(D102=0,0,D102-C102)</f>
        <v>32161.315068493132</v>
      </c>
      <c r="E108" s="264">
        <f t="shared" si="25"/>
        <v>34734.220273972605</v>
      </c>
      <c r="F108" s="264">
        <f t="shared" si="25"/>
        <v>37512.957895890402</v>
      </c>
      <c r="G108" s="264">
        <f t="shared" si="25"/>
        <v>40513.994527561648</v>
      </c>
      <c r="H108" s="264">
        <f t="shared" si="25"/>
        <v>43755.114089766517</v>
      </c>
      <c r="I108" s="264">
        <f t="shared" si="25"/>
        <v>47255.523216947913</v>
      </c>
      <c r="J108" s="264">
        <f t="shared" si="25"/>
        <v>51035.965074303676</v>
      </c>
      <c r="K108" s="264">
        <f t="shared" si="25"/>
        <v>55118.842280248064</v>
      </c>
      <c r="L108" s="264">
        <f t="shared" si="25"/>
        <v>59528.349662667839</v>
      </c>
      <c r="M108" s="264">
        <f t="shared" si="25"/>
        <v>64290.617635681294</v>
      </c>
      <c r="N108" s="264">
        <f t="shared" si="25"/>
        <v>69433.86704653583</v>
      </c>
      <c r="O108" s="264">
        <f t="shared" si="25"/>
        <v>74988.576410258655</v>
      </c>
      <c r="P108" s="264">
        <f t="shared" si="25"/>
        <v>80987.662523079314</v>
      </c>
      <c r="Q108" s="264">
        <f t="shared" si="25"/>
        <v>87466.675524925813</v>
      </c>
    </row>
    <row r="109" spans="1:17" x14ac:dyDescent="0.2">
      <c r="A109" s="129"/>
      <c r="B109" s="129"/>
      <c r="C109" s="322"/>
      <c r="D109" s="260"/>
      <c r="E109" s="260"/>
      <c r="F109" s="260"/>
      <c r="G109" s="260"/>
      <c r="H109" s="260"/>
      <c r="I109" s="260"/>
      <c r="J109" s="260"/>
      <c r="K109" s="260"/>
      <c r="L109" s="260"/>
      <c r="M109" s="260"/>
      <c r="N109" s="260"/>
      <c r="O109" s="260"/>
      <c r="P109" s="260"/>
      <c r="Q109" s="260"/>
    </row>
    <row r="110" spans="1:17" x14ac:dyDescent="0.2">
      <c r="A110" s="132" t="s">
        <v>122</v>
      </c>
      <c r="B110" s="132"/>
      <c r="C110" s="327">
        <f>'Data Property 1'!C165</f>
        <v>424.28571428571433</v>
      </c>
      <c r="D110" s="265">
        <f>'Data Property 1'!D165</f>
        <v>17175.085714285713</v>
      </c>
      <c r="E110" s="265">
        <f>'Data Property 1'!E165</f>
        <v>17725.713107142852</v>
      </c>
      <c r="F110" s="265">
        <f>'Data Property 1'!F165</f>
        <v>18346.113065892852</v>
      </c>
      <c r="G110" s="265">
        <f>'Data Property 1'!G165</f>
        <v>18988.227023199102</v>
      </c>
      <c r="H110" s="265">
        <f>'Data Property 1'!H165</f>
        <v>19708.805894848705</v>
      </c>
      <c r="I110" s="265">
        <f>'Data Property 1'!I165</f>
        <v>20340.663492926458</v>
      </c>
      <c r="J110" s="265">
        <f>'Data Property 1'!J165</f>
        <v>21052.586715178881</v>
      </c>
      <c r="K110" s="265">
        <f>'Data Property 1'!K165</f>
        <v>21789.427250210141</v>
      </c>
      <c r="L110" s="265">
        <f>'Data Property 1'!L165</f>
        <v>22616.308079192469</v>
      </c>
      <c r="M110" s="265">
        <f>'Data Property 1'!M165</f>
        <v>23341.379206106354</v>
      </c>
      <c r="N110" s="265">
        <f>'Data Property 1'!N165</f>
        <v>24158.327478320076</v>
      </c>
      <c r="O110" s="265">
        <f>'Data Property 1'!O165</f>
        <v>25003.868940061275</v>
      </c>
      <c r="P110" s="265">
        <f>'Data Property 1'!P165</f>
        <v>25952.733710094366</v>
      </c>
      <c r="Q110" s="265">
        <f>'Data Property 1'!Q165</f>
        <v>26784.769505317137</v>
      </c>
    </row>
    <row r="111" spans="1:17" x14ac:dyDescent="0.2">
      <c r="A111" s="134" t="s">
        <v>210</v>
      </c>
      <c r="B111" s="134"/>
      <c r="C111" s="328">
        <f t="shared" ref="C111:Q111" si="26">C80</f>
        <v>1.6711498383422098E-2</v>
      </c>
      <c r="D111" s="266">
        <f t="shared" si="26"/>
        <v>4.262759850657892E-2</v>
      </c>
      <c r="E111" s="266">
        <f t="shared" si="26"/>
        <v>4.3994224782563977E-2</v>
      </c>
      <c r="F111" s="266">
        <f t="shared" si="26"/>
        <v>4.5534022649953716E-2</v>
      </c>
      <c r="G111" s="266">
        <f t="shared" si="26"/>
        <v>4.7127713442702099E-2</v>
      </c>
      <c r="H111" s="266">
        <f t="shared" si="26"/>
        <v>4.8916149747707194E-2</v>
      </c>
      <c r="I111" s="266">
        <f t="shared" si="26"/>
        <v>5.0484384832658553E-2</v>
      </c>
      <c r="J111" s="266">
        <f t="shared" si="26"/>
        <v>5.2251338301801592E-2</v>
      </c>
      <c r="K111" s="266">
        <f t="shared" si="26"/>
        <v>5.4080135142364649E-2</v>
      </c>
      <c r="L111" s="266">
        <f t="shared" si="26"/>
        <v>5.613240693751078E-2</v>
      </c>
      <c r="M111" s="266">
        <f t="shared" si="26"/>
        <v>5.793199276787956E-2</v>
      </c>
      <c r="N111" s="266">
        <f t="shared" si="26"/>
        <v>5.9959612514755345E-2</v>
      </c>
      <c r="O111" s="266">
        <f t="shared" si="26"/>
        <v>6.2058198952771773E-2</v>
      </c>
      <c r="P111" s="266">
        <f t="shared" si="26"/>
        <v>6.441322804123592E-2</v>
      </c>
      <c r="Q111" s="266">
        <f t="shared" si="26"/>
        <v>6.6478294173182934E-2</v>
      </c>
    </row>
    <row r="112" spans="1:17" x14ac:dyDescent="0.2">
      <c r="A112" s="129" t="str">
        <f>'Data Property 1'!A193</f>
        <v>Property Expenses</v>
      </c>
      <c r="B112" s="129"/>
      <c r="C112" s="327">
        <f>'Data Property 1'!C186</f>
        <v>679.06780821917812</v>
      </c>
      <c r="D112" s="265">
        <f>'Data Property 1'!D186</f>
        <v>5925.4247500000001</v>
      </c>
      <c r="E112" s="265">
        <f>'Data Property 1'!E186</f>
        <v>6085.4633862499995</v>
      </c>
      <c r="F112" s="265">
        <f>'Data Property 1'!F186</f>
        <v>6253.54301258125</v>
      </c>
      <c r="G112" s="265">
        <f>'Data Property 1'!G186</f>
        <v>6426.3826360294061</v>
      </c>
      <c r="H112" s="265">
        <f>'Data Property 1'!H186</f>
        <v>6608.0401515570766</v>
      </c>
      <c r="I112" s="265">
        <f>'Data Property 1'!I186</f>
        <v>6786.9001417040954</v>
      </c>
      <c r="J112" s="265">
        <f>'Data Property 1'!J186</f>
        <v>6974.8676522686828</v>
      </c>
      <c r="K112" s="265">
        <f>'Data Property 1'!K186</f>
        <v>7168.1746758431545</v>
      </c>
      <c r="L112" s="265">
        <f>'Data Property 1'!L186</f>
        <v>7371.4746729021072</v>
      </c>
      <c r="M112" s="265">
        <f>'Data Property 1'!M186</f>
        <v>7571.4355407357934</v>
      </c>
      <c r="N112" s="265">
        <f>'Data Property 1'!N186</f>
        <v>7781.7153706085119</v>
      </c>
      <c r="O112" s="265">
        <f>'Data Property 1'!O186</f>
        <v>7997.9869841754498</v>
      </c>
      <c r="P112" s="265">
        <f>'Data Property 1'!P186</f>
        <v>8225.5869486062875</v>
      </c>
      <c r="Q112" s="265">
        <f>'Data Property 1'!Q186</f>
        <v>8449.2128989935409</v>
      </c>
    </row>
    <row r="113" spans="1:17" x14ac:dyDescent="0.2">
      <c r="A113" s="129" t="str">
        <f>'Data Property 1'!A194</f>
        <v>Total Cash Deductions</v>
      </c>
      <c r="B113" s="360"/>
      <c r="C113" s="327">
        <f>'Data Property 1'!C187</f>
        <v>1528.4823835616439</v>
      </c>
      <c r="D113" s="265">
        <f>'Data Property 1'!D187</f>
        <v>19442.19581849315</v>
      </c>
      <c r="E113" s="265">
        <f>'Data Property 1'!E187</f>
        <v>19565.303386250001</v>
      </c>
      <c r="F113" s="265">
        <f>'Data Property 1'!F187</f>
        <v>19733.383012581249</v>
      </c>
      <c r="G113" s="265">
        <f>'Data Property 1'!G187</f>
        <v>19906.222636029408</v>
      </c>
      <c r="H113" s="265">
        <f>'Data Property 1'!H187</f>
        <v>20124.811220050229</v>
      </c>
      <c r="I113" s="265">
        <f>'Data Property 1'!I187</f>
        <v>20266.740141704096</v>
      </c>
      <c r="J113" s="265">
        <f>'Data Property 1'!J187</f>
        <v>20454.707652268684</v>
      </c>
      <c r="K113" s="265">
        <f>'Data Property 1'!K187</f>
        <v>20648.014675843155</v>
      </c>
      <c r="L113" s="265">
        <f>'Data Property 1'!L187</f>
        <v>20888.245741395258</v>
      </c>
      <c r="M113" s="265">
        <f>'Data Property 1'!M187</f>
        <v>21051.275540735794</v>
      </c>
      <c r="N113" s="265">
        <f>'Data Property 1'!N187</f>
        <v>21261.555370608512</v>
      </c>
      <c r="O113" s="265">
        <f>'Data Property 1'!O187</f>
        <v>21477.826984175452</v>
      </c>
      <c r="P113" s="265">
        <f>'Data Property 1'!P187</f>
        <v>21742.358017099439</v>
      </c>
      <c r="Q113" s="265">
        <f>'Data Property 1'!Q187</f>
        <v>21929.052898993541</v>
      </c>
    </row>
    <row r="114" spans="1:17" x14ac:dyDescent="0.2">
      <c r="A114" s="129"/>
      <c r="B114" s="361"/>
      <c r="C114" s="329"/>
      <c r="D114" s="267"/>
      <c r="E114" s="267"/>
      <c r="F114" s="267"/>
      <c r="G114" s="267"/>
      <c r="H114" s="267"/>
      <c r="I114" s="267"/>
      <c r="J114" s="267"/>
      <c r="K114" s="267"/>
      <c r="L114" s="267"/>
      <c r="M114" s="267"/>
      <c r="N114" s="267"/>
      <c r="O114" s="267"/>
      <c r="P114" s="267"/>
      <c r="Q114" s="267"/>
    </row>
    <row r="115" spans="1:17" x14ac:dyDescent="0.2">
      <c r="A115" s="129" t="str">
        <f>'Data Property 1'!A188</f>
        <v>Pre-Tax Cash Flow</v>
      </c>
      <c r="B115" s="362"/>
      <c r="C115" s="330">
        <f>'Data Property 1'!C189</f>
        <v>-1104.1966692759297</v>
      </c>
      <c r="D115" s="268">
        <f>'Data Property 1'!D189</f>
        <v>-2267.110104207437</v>
      </c>
      <c r="E115" s="268">
        <f>'Data Property 1'!E189</f>
        <v>-1839.5902791071494</v>
      </c>
      <c r="F115" s="268">
        <f>'Data Property 1'!F189</f>
        <v>-1387.2699466883969</v>
      </c>
      <c r="G115" s="268">
        <f>'Data Property 1'!G189</f>
        <v>-917.99561283030562</v>
      </c>
      <c r="H115" s="268">
        <f>'Data Property 1'!H189</f>
        <v>-416.0053252015241</v>
      </c>
      <c r="I115" s="268">
        <f>'Data Property 1'!I189</f>
        <v>73.923351222361816</v>
      </c>
      <c r="J115" s="268">
        <f>'Data Property 1'!J189</f>
        <v>597.87906291019681</v>
      </c>
      <c r="K115" s="268">
        <f>'Data Property 1'!K189</f>
        <v>1141.4125743669865</v>
      </c>
      <c r="L115" s="268">
        <f>'Data Property 1'!L189</f>
        <v>1728.0623377972115</v>
      </c>
      <c r="M115" s="268">
        <f>'Data Property 1'!M189</f>
        <v>2290.1036653705596</v>
      </c>
      <c r="N115" s="268">
        <f>'Data Property 1'!N189</f>
        <v>2896.7721077115639</v>
      </c>
      <c r="O115" s="268">
        <f>'Data Property 1'!O189</f>
        <v>3526.041955885823</v>
      </c>
      <c r="P115" s="268">
        <f>'Data Property 1'!P189</f>
        <v>4210.3756929949268</v>
      </c>
      <c r="Q115" s="268">
        <f>'Data Property 1'!Q189</f>
        <v>4855.7166063235964</v>
      </c>
    </row>
    <row r="116" spans="1:17" x14ac:dyDescent="0.2">
      <c r="A116" s="135" t="str">
        <f>'Data Property 1'!A202</f>
        <v>Net Income</v>
      </c>
      <c r="B116" s="363"/>
      <c r="C116" s="327">
        <f>'Data Property 1'!C202</f>
        <v>-5966.1966692759297</v>
      </c>
      <c r="D116" s="265">
        <f>'Data Property 1'!D202</f>
        <v>-6679.110104207437</v>
      </c>
      <c r="E116" s="265">
        <f>'Data Property 1'!E202</f>
        <v>-5936.5902791071494</v>
      </c>
      <c r="F116" s="265">
        <f>'Data Property 1'!F202</f>
        <v>-5263.7699466883969</v>
      </c>
      <c r="G116" s="265">
        <f>'Data Property 1'!G202</f>
        <v>-4640.1456128303071</v>
      </c>
      <c r="H116" s="265">
        <f>'Data Property 1'!H202</f>
        <v>-3668.1103252015237</v>
      </c>
      <c r="I116" s="265">
        <f>'Data Property 1'!I202</f>
        <v>-3102.5501487776382</v>
      </c>
      <c r="J116" s="265">
        <f>'Data Property 1'!J202</f>
        <v>-2525.6523870898018</v>
      </c>
      <c r="K116" s="265">
        <f>'Data Property 1'!K202</f>
        <v>-1945.0594406330129</v>
      </c>
      <c r="L116" s="265">
        <f>'Data Property 1'!L202</f>
        <v>-1332.468072702788</v>
      </c>
      <c r="M116" s="265">
        <f>'Data Property 1'!M202</f>
        <v>-752.26762197944117</v>
      </c>
      <c r="N116" s="265">
        <f>'Data Property 1'!N202</f>
        <v>-132.88779343343776</v>
      </c>
      <c r="O116" s="265">
        <f>'Data Property 1'!O202</f>
        <v>505.28002508432473</v>
      </c>
      <c r="P116" s="265">
        <f>'Data Property 1'!P202</f>
        <v>1195.8423414338758</v>
      </c>
      <c r="Q116" s="265">
        <f>'Data Property 1'!Q202</f>
        <v>1845.5432602308611</v>
      </c>
    </row>
    <row r="117" spans="1:17" x14ac:dyDescent="0.2">
      <c r="A117" s="135" t="s">
        <v>206</v>
      </c>
      <c r="B117" s="363"/>
      <c r="C117" s="327">
        <f>'Data Property 1'!C211</f>
        <v>1103.7463838160438</v>
      </c>
      <c r="D117" s="265">
        <f>'Data Property 1'!D211</f>
        <v>1235.6353692783814</v>
      </c>
      <c r="E117" s="265">
        <f>'Data Property 1'!E211</f>
        <v>1098.2692016348228</v>
      </c>
      <c r="F117" s="265">
        <f>'Data Property 1'!F211</f>
        <v>973.79744013735763</v>
      </c>
      <c r="G117" s="265">
        <f>'Data Property 1'!G211</f>
        <v>858.42693837360275</v>
      </c>
      <c r="H117" s="265">
        <f>'Data Property 1'!H211</f>
        <v>678.60041016228934</v>
      </c>
      <c r="I117" s="265">
        <f>'Data Property 1'!I211</f>
        <v>573.97177752386779</v>
      </c>
      <c r="J117" s="265">
        <f>'Data Property 1'!J211</f>
        <v>467.24569161160616</v>
      </c>
      <c r="K117" s="265">
        <f>'Data Property 1'!K211</f>
        <v>359.8359965171112</v>
      </c>
      <c r="L117" s="265">
        <f>'Data Property 1'!L211</f>
        <v>246.50659345001623</v>
      </c>
      <c r="M117" s="265">
        <f>'Data Property 1'!M211</f>
        <v>139.16951006620366</v>
      </c>
      <c r="N117" s="265">
        <f>'Data Property 1'!N211</f>
        <v>24.584241785189079</v>
      </c>
      <c r="O117" s="265">
        <f>'Data Property 1'!O211</f>
        <v>-93.476804640602495</v>
      </c>
      <c r="P117" s="265">
        <f>'Data Property 1'!P211</f>
        <v>-221.23083316526026</v>
      </c>
      <c r="Q117" s="265">
        <f>'Data Property 1'!Q211</f>
        <v>-341.42550314270193</v>
      </c>
    </row>
    <row r="118" spans="1:17" x14ac:dyDescent="0.2">
      <c r="A118" s="129" t="s">
        <v>207</v>
      </c>
      <c r="B118" s="361"/>
      <c r="C118" s="331">
        <f>'Data Property 1'!C220</f>
        <v>1103.7463838160475</v>
      </c>
      <c r="D118" s="269">
        <f>'Data Property 1'!D220</f>
        <v>1235.6353692783741</v>
      </c>
      <c r="E118" s="269">
        <f>'Data Property 1'!E220</f>
        <v>1098.2692016348228</v>
      </c>
      <c r="F118" s="269">
        <f>'Data Property 1'!F220</f>
        <v>973.79744013735399</v>
      </c>
      <c r="G118" s="269">
        <f>'Data Property 1'!G220</f>
        <v>858.42693837360275</v>
      </c>
      <c r="H118" s="269">
        <f>'Data Property 1'!H220</f>
        <v>678.60041016228206</v>
      </c>
      <c r="I118" s="269">
        <f>'Data Property 1'!I220</f>
        <v>573.97177752386415</v>
      </c>
      <c r="J118" s="269">
        <f>'Data Property 1'!J220</f>
        <v>467.24569161161344</v>
      </c>
      <c r="K118" s="269">
        <f>'Data Property 1'!K220</f>
        <v>359.83599651710756</v>
      </c>
      <c r="L118" s="269">
        <f>'Data Property 1'!L220</f>
        <v>246.50659345001623</v>
      </c>
      <c r="M118" s="269">
        <f>'Data Property 1'!M220</f>
        <v>139.16951006619638</v>
      </c>
      <c r="N118" s="269">
        <f>'Data Property 1'!N220</f>
        <v>24.584241785185441</v>
      </c>
      <c r="O118" s="269">
        <f>'Data Property 1'!O220</f>
        <v>-93.476804640602495</v>
      </c>
      <c r="P118" s="269">
        <f>'Data Property 1'!P220</f>
        <v>-221.23083316526754</v>
      </c>
      <c r="Q118" s="269">
        <f>'Data Property 1'!Q220</f>
        <v>-341.42550314270193</v>
      </c>
    </row>
    <row r="119" spans="1:17" ht="13.5" thickBot="1" x14ac:dyDescent="0.25">
      <c r="A119" s="131" t="str">
        <f>'Data Property 1'!A223</f>
        <v>After-tax Cash Flow</v>
      </c>
      <c r="B119" s="364"/>
      <c r="C119" s="332">
        <f>'Data Property 1'!C224</f>
        <v>1103.2960983561616</v>
      </c>
      <c r="D119" s="270">
        <f>'Data Property 1'!D224</f>
        <v>204.16063434931857</v>
      </c>
      <c r="E119" s="270">
        <f>'Data Property 1'!E224</f>
        <v>356.94812416249624</v>
      </c>
      <c r="F119" s="270">
        <f>'Data Property 1'!F224</f>
        <v>560.32493358631473</v>
      </c>
      <c r="G119" s="270">
        <f>'Data Property 1'!G224</f>
        <v>798.85826391689989</v>
      </c>
      <c r="H119" s="270">
        <f>'Data Property 1'!H224</f>
        <v>941.19549512304729</v>
      </c>
      <c r="I119" s="270">
        <f>'Data Property 1'!I224</f>
        <v>1221.8669062700938</v>
      </c>
      <c r="J119" s="270">
        <f>'Data Property 1'!J224</f>
        <v>1532.3704461334164</v>
      </c>
      <c r="K119" s="270">
        <f>'Data Property 1'!K224</f>
        <v>1861.0845674012053</v>
      </c>
      <c r="L119" s="270">
        <f>'Data Property 1'!L224</f>
        <v>2221.075524697244</v>
      </c>
      <c r="M119" s="270">
        <f>'Data Property 1'!M224</f>
        <v>2568.4426855029596</v>
      </c>
      <c r="N119" s="270">
        <f>'Data Property 1'!N224</f>
        <v>2945.9405912819384</v>
      </c>
      <c r="O119" s="270">
        <f>'Data Property 1'!O224</f>
        <v>3339.088346604618</v>
      </c>
      <c r="P119" s="270">
        <f>'Data Property 1'!P224</f>
        <v>3767.914026664399</v>
      </c>
      <c r="Q119" s="270">
        <f>'Data Property 1'!Q224</f>
        <v>4172.8656000381925</v>
      </c>
    </row>
    <row r="120" spans="1:17" ht="13.5" thickTop="1" x14ac:dyDescent="0.2">
      <c r="A120" s="196" t="s">
        <v>246</v>
      </c>
      <c r="B120" s="365"/>
      <c r="C120" s="333">
        <f>C119</f>
        <v>1103.2960983561616</v>
      </c>
      <c r="D120" s="271">
        <f t="shared" ref="D120:Q120" si="27">C120+D119</f>
        <v>1307.4567327054801</v>
      </c>
      <c r="E120" s="271">
        <f t="shared" si="27"/>
        <v>1664.4048568679764</v>
      </c>
      <c r="F120" s="271">
        <f t="shared" si="27"/>
        <v>2224.7297904542911</v>
      </c>
      <c r="G120" s="271">
        <f t="shared" si="27"/>
        <v>3023.588054371191</v>
      </c>
      <c r="H120" s="271">
        <f t="shared" si="27"/>
        <v>3964.7835494942383</v>
      </c>
      <c r="I120" s="271">
        <f t="shared" si="27"/>
        <v>5186.650455764332</v>
      </c>
      <c r="J120" s="271">
        <f t="shared" si="27"/>
        <v>6719.0209018977484</v>
      </c>
      <c r="K120" s="271">
        <f t="shared" si="27"/>
        <v>8580.1054692989528</v>
      </c>
      <c r="L120" s="271">
        <f t="shared" si="27"/>
        <v>10801.180993996197</v>
      </c>
      <c r="M120" s="271">
        <f t="shared" si="27"/>
        <v>13369.623679499156</v>
      </c>
      <c r="N120" s="271">
        <f t="shared" si="27"/>
        <v>16315.564270781095</v>
      </c>
      <c r="O120" s="271">
        <f t="shared" si="27"/>
        <v>19654.652617385713</v>
      </c>
      <c r="P120" s="271">
        <f t="shared" si="27"/>
        <v>23422.566644050112</v>
      </c>
      <c r="Q120" s="271">
        <f t="shared" si="27"/>
        <v>27595.432244088304</v>
      </c>
    </row>
    <row r="121" spans="1:17" x14ac:dyDescent="0.2">
      <c r="A121" s="129"/>
      <c r="B121" s="281"/>
      <c r="C121" s="334"/>
      <c r="D121" s="272"/>
      <c r="E121" s="272"/>
      <c r="F121" s="272"/>
      <c r="G121" s="272"/>
      <c r="H121" s="272"/>
      <c r="I121" s="272"/>
      <c r="J121" s="272"/>
      <c r="K121" s="272"/>
      <c r="L121" s="272"/>
      <c r="M121" s="272"/>
      <c r="N121" s="272"/>
      <c r="O121" s="272"/>
      <c r="P121" s="272"/>
      <c r="Q121" s="272"/>
    </row>
    <row r="122" spans="1:17" x14ac:dyDescent="0.2">
      <c r="A122" s="131" t="s">
        <v>209</v>
      </c>
      <c r="B122" s="131"/>
      <c r="C122" s="335">
        <f>C119+C108-C104</f>
        <v>1619.7344545205415</v>
      </c>
      <c r="D122" s="273">
        <f>IF('Data Property 1'!C161&lt;'Input Property 1'!$B$33,D119+D108,0)</f>
        <v>32365.47570284245</v>
      </c>
      <c r="E122" s="273">
        <f>IF('Data Property 1'!D161&lt;'Input Property 1'!$B$33,E119+E108,0)</f>
        <v>35091.168398135102</v>
      </c>
      <c r="F122" s="273">
        <f>IF('Data Property 1'!E161&lt;'Input Property 1'!$B$33,F119+F108,0)</f>
        <v>38073.282829476717</v>
      </c>
      <c r="G122" s="273">
        <f>IF('Data Property 1'!F161&lt;'Input Property 1'!$B$33,G119+G108,0)</f>
        <v>41312.852791478552</v>
      </c>
      <c r="H122" s="273">
        <f>IF('Data Property 1'!G161&lt;'Input Property 1'!$B$33,H119+H108,0)</f>
        <v>44696.309584889561</v>
      </c>
      <c r="I122" s="273">
        <f>IF('Data Property 1'!H161&lt;'Input Property 1'!$B$33,I119+I108,0)</f>
        <v>48477.390123218007</v>
      </c>
      <c r="J122" s="273">
        <f>IF('Data Property 1'!I161&lt;'Input Property 1'!$B$33,J119+J108,0)</f>
        <v>52568.335520437089</v>
      </c>
      <c r="K122" s="273">
        <f>IF('Data Property 1'!J161&lt;'Input Property 1'!$B$33,K119+K108,0)</f>
        <v>56979.926847649273</v>
      </c>
      <c r="L122" s="273">
        <f>IF('Data Property 1'!K161&lt;'Input Property 1'!$B$33,L119+L108,0)</f>
        <v>61749.425187365079</v>
      </c>
      <c r="M122" s="273">
        <f>IF('Data Property 1'!L161&lt;'Input Property 1'!$B$33,M119+M108,0)</f>
        <v>66859.060321184254</v>
      </c>
      <c r="N122" s="273">
        <f>IF('Data Property 1'!M161&lt;'Input Property 1'!$B$33,N119+N108,0)</f>
        <v>72379.807637817765</v>
      </c>
      <c r="O122" s="273">
        <f>IF('Data Property 1'!N161&lt;'Input Property 1'!$B$33,O119+O108,0)</f>
        <v>78327.664756863276</v>
      </c>
      <c r="P122" s="273">
        <f>IF('Data Property 1'!O161&lt;'Input Property 1'!$B$33,P119+P108,0)</f>
        <v>84755.57654974371</v>
      </c>
      <c r="Q122" s="273">
        <f>IF('Data Property 1'!P161&lt;'Input Property 1'!$B$33,Q119+Q108,0)</f>
        <v>91639.541124964002</v>
      </c>
    </row>
    <row r="123" spans="1:17" x14ac:dyDescent="0.2">
      <c r="A123" s="196" t="s">
        <v>245</v>
      </c>
      <c r="B123" s="196"/>
      <c r="C123" s="335">
        <f>C122</f>
        <v>1619.7344545205415</v>
      </c>
      <c r="D123" s="273">
        <f t="shared" ref="D123:Q123" si="28">C123+D122</f>
        <v>33985.210157362992</v>
      </c>
      <c r="E123" s="273">
        <f t="shared" si="28"/>
        <v>69076.378555498086</v>
      </c>
      <c r="F123" s="273">
        <f t="shared" si="28"/>
        <v>107149.66138497481</v>
      </c>
      <c r="G123" s="273">
        <f t="shared" si="28"/>
        <v>148462.51417645335</v>
      </c>
      <c r="H123" s="273">
        <f t="shared" si="28"/>
        <v>193158.82376134291</v>
      </c>
      <c r="I123" s="273">
        <f t="shared" si="28"/>
        <v>241636.21388456092</v>
      </c>
      <c r="J123" s="273">
        <f t="shared" si="28"/>
        <v>294204.54940499802</v>
      </c>
      <c r="K123" s="273">
        <f t="shared" si="28"/>
        <v>351184.47625264729</v>
      </c>
      <c r="L123" s="273">
        <f t="shared" si="28"/>
        <v>412933.90144001239</v>
      </c>
      <c r="M123" s="273">
        <f t="shared" si="28"/>
        <v>479792.96176119661</v>
      </c>
      <c r="N123" s="273">
        <f t="shared" si="28"/>
        <v>552172.76939901442</v>
      </c>
      <c r="O123" s="273">
        <f t="shared" si="28"/>
        <v>630500.43415587768</v>
      </c>
      <c r="P123" s="273">
        <f t="shared" si="28"/>
        <v>715256.01070562145</v>
      </c>
      <c r="Q123" s="273">
        <f t="shared" si="28"/>
        <v>806895.55183058546</v>
      </c>
    </row>
    <row r="124" spans="1:17" x14ac:dyDescent="0.2">
      <c r="A124" s="129"/>
      <c r="B124" s="129"/>
      <c r="C124" s="322"/>
      <c r="D124" s="260"/>
      <c r="E124" s="260"/>
      <c r="F124" s="260"/>
      <c r="G124" s="260"/>
      <c r="H124" s="260"/>
      <c r="I124" s="260"/>
      <c r="J124" s="260"/>
      <c r="K124" s="260"/>
      <c r="L124" s="260"/>
      <c r="M124" s="260"/>
      <c r="N124" s="260"/>
      <c r="O124" s="260"/>
      <c r="P124" s="260"/>
      <c r="Q124" s="260"/>
    </row>
    <row r="125" spans="1:17" x14ac:dyDescent="0.2">
      <c r="A125" s="131" t="s">
        <v>90</v>
      </c>
      <c r="B125" s="131"/>
      <c r="C125" s="322"/>
      <c r="D125" s="260"/>
      <c r="E125" s="274"/>
      <c r="F125" s="260"/>
      <c r="G125" s="260"/>
      <c r="H125" s="260"/>
      <c r="I125" s="260"/>
      <c r="J125" s="260"/>
      <c r="K125" s="260"/>
      <c r="L125" s="260"/>
      <c r="M125" s="260"/>
      <c r="N125" s="260"/>
      <c r="O125" s="260"/>
      <c r="P125" s="260"/>
      <c r="Q125" s="260"/>
    </row>
    <row r="126" spans="1:17" x14ac:dyDescent="0.2">
      <c r="A126" s="248" t="s">
        <v>91</v>
      </c>
      <c r="B126" s="248"/>
      <c r="C126" s="336">
        <f>IRR(D126:I126)</f>
        <v>0.45185233136295699</v>
      </c>
      <c r="D126" s="275">
        <f>-('Input Property 1'!B5-'Input Property 1'!B3+'Input Property 1'!B4)</f>
        <v>-42910</v>
      </c>
      <c r="E126" s="275">
        <f>C122</f>
        <v>1619.7344545205415</v>
      </c>
      <c r="F126" s="275">
        <f>D122</f>
        <v>32365.47570284245</v>
      </c>
      <c r="G126" s="275">
        <f>E122</f>
        <v>35091.168398135102</v>
      </c>
      <c r="H126" s="275">
        <f>F122</f>
        <v>38073.282829476717</v>
      </c>
      <c r="I126" s="275">
        <f>G122</f>
        <v>41312.852791478552</v>
      </c>
      <c r="J126" s="275"/>
      <c r="K126" s="275"/>
      <c r="L126" s="275"/>
      <c r="M126" s="275"/>
      <c r="N126" s="275"/>
      <c r="O126" s="276"/>
      <c r="P126" s="276"/>
      <c r="Q126" s="276"/>
    </row>
    <row r="127" spans="1:17" x14ac:dyDescent="0.2">
      <c r="A127" s="132" t="s">
        <v>92</v>
      </c>
      <c r="B127" s="132"/>
      <c r="C127" s="337" t="e">
        <f>IRR(D127:N127)</f>
        <v>#NUM!</v>
      </c>
      <c r="D127" s="277">
        <f>'Data Property 1'!C224</f>
        <v>1103.2960983561616</v>
      </c>
      <c r="E127" s="277">
        <f>'Data Property 1'!D224</f>
        <v>204.16063434931857</v>
      </c>
      <c r="F127" s="277">
        <f>'Data Property 1'!E224</f>
        <v>356.94812416249624</v>
      </c>
      <c r="G127" s="277">
        <f>'Data Property 1'!F224</f>
        <v>560.32493358631473</v>
      </c>
      <c r="H127" s="277">
        <f>'Data Property 1'!G224</f>
        <v>798.85826391689989</v>
      </c>
      <c r="I127" s="277">
        <f>'Data Property 1'!H224</f>
        <v>941.19549512304729</v>
      </c>
      <c r="J127" s="277">
        <f>'Data Property 1'!I224</f>
        <v>1221.8669062700938</v>
      </c>
      <c r="K127" s="277">
        <f>'Data Property 1'!J224</f>
        <v>1532.3704461334164</v>
      </c>
      <c r="L127" s="277">
        <f>'Data Property 1'!K224</f>
        <v>1861.0845674012053</v>
      </c>
      <c r="M127" s="277">
        <f>'Data Property 1'!L224</f>
        <v>2221.075524697244</v>
      </c>
      <c r="N127" s="277">
        <f>'Data Property 1'!L106-'Input Property 1'!B4</f>
        <v>402132.72044601617</v>
      </c>
      <c r="O127" s="278"/>
      <c r="P127" s="279"/>
      <c r="Q127" s="279"/>
    </row>
    <row r="128" spans="1:17" x14ac:dyDescent="0.2">
      <c r="A128" s="132" t="s">
        <v>93</v>
      </c>
      <c r="B128" s="132"/>
      <c r="C128" s="338" t="e">
        <f>IRR(D128:Q128)</f>
        <v>#NUM!</v>
      </c>
      <c r="D128" s="277">
        <f>'Data Property 1'!C224</f>
        <v>1103.2960983561616</v>
      </c>
      <c r="E128" s="277">
        <f>'Data Property 1'!D224</f>
        <v>204.16063434931857</v>
      </c>
      <c r="F128" s="277">
        <f>'Data Property 1'!E224</f>
        <v>356.94812416249624</v>
      </c>
      <c r="G128" s="277">
        <f>'Data Property 1'!F224</f>
        <v>560.32493358631473</v>
      </c>
      <c r="H128" s="277">
        <f>'Data Property 1'!G224</f>
        <v>798.85826391689989</v>
      </c>
      <c r="I128" s="277">
        <f>'Data Property 1'!H224</f>
        <v>941.19549512304729</v>
      </c>
      <c r="J128" s="277">
        <f>'Data Property 1'!I224</f>
        <v>1221.8669062700938</v>
      </c>
      <c r="K128" s="277">
        <f>'Data Property 1'!J224</f>
        <v>1532.3704461334164</v>
      </c>
      <c r="L128" s="277">
        <f>'Data Property 1'!K224</f>
        <v>1861.0845674012053</v>
      </c>
      <c r="M128" s="277">
        <f>'Data Property 1'!L224</f>
        <v>2221.075524697244</v>
      </c>
      <c r="N128" s="277">
        <f>'Data Property 1'!M224</f>
        <v>2568.4426855029596</v>
      </c>
      <c r="O128" s="277">
        <f>'Data Property 1'!N224</f>
        <v>2945.9405912819384</v>
      </c>
      <c r="P128" s="277">
        <f>'Data Property 1'!O224</f>
        <v>3339.088346604618</v>
      </c>
      <c r="Q128" s="277">
        <f>'Data Property 1'!P224</f>
        <v>3767.914026664399</v>
      </c>
    </row>
    <row r="129" spans="1:17" x14ac:dyDescent="0.2">
      <c r="A129" s="129"/>
      <c r="B129" s="129"/>
      <c r="C129" s="322"/>
      <c r="D129" s="260"/>
      <c r="E129" s="260"/>
      <c r="F129" s="260"/>
      <c r="G129" s="260"/>
      <c r="H129" s="260"/>
      <c r="I129" s="260"/>
      <c r="J129" s="260"/>
      <c r="K129" s="260"/>
      <c r="L129" s="260"/>
      <c r="M129" s="260"/>
      <c r="N129" s="260"/>
      <c r="O129" s="260"/>
      <c r="P129" s="260"/>
      <c r="Q129" s="260"/>
    </row>
    <row r="130" spans="1:17" x14ac:dyDescent="0.2">
      <c r="A130" s="196" t="s">
        <v>235</v>
      </c>
      <c r="B130" s="196"/>
      <c r="C130" s="339">
        <f>SUM(C122:Q122)</f>
        <v>806895.55183058546</v>
      </c>
      <c r="D130" s="208"/>
      <c r="E130" s="260"/>
      <c r="F130" s="260"/>
      <c r="G130" s="260"/>
      <c r="H130" s="260"/>
      <c r="I130" s="260"/>
      <c r="J130" s="260"/>
      <c r="K130" s="260"/>
      <c r="L130" s="260"/>
      <c r="M130" s="260"/>
      <c r="N130" s="260"/>
      <c r="O130" s="260"/>
      <c r="P130" s="260"/>
      <c r="Q130" s="260"/>
    </row>
    <row r="131" spans="1:17" x14ac:dyDescent="0.2">
      <c r="A131" s="196" t="s">
        <v>236</v>
      </c>
      <c r="B131" s="196"/>
      <c r="C131" s="340">
        <f>C130/C103</f>
        <v>2.2320762152989917</v>
      </c>
      <c r="D131" s="209"/>
      <c r="E131" s="260"/>
      <c r="F131" s="260"/>
      <c r="G131" s="260"/>
      <c r="H131" s="260"/>
      <c r="I131" s="260"/>
      <c r="J131" s="260"/>
      <c r="K131" s="260"/>
      <c r="L131" s="260"/>
      <c r="M131" s="260"/>
      <c r="N131" s="260"/>
      <c r="O131" s="260"/>
      <c r="P131" s="260"/>
      <c r="Q131" s="260"/>
    </row>
    <row r="159" spans="1:17" ht="18" x14ac:dyDescent="0.25">
      <c r="A159" s="280" t="s">
        <v>259</v>
      </c>
      <c r="B159" s="165"/>
      <c r="C159" s="320"/>
      <c r="D159" s="165"/>
      <c r="E159" s="165"/>
      <c r="F159" s="165"/>
      <c r="G159" s="165"/>
      <c r="H159" s="165"/>
      <c r="I159" s="165"/>
      <c r="J159" s="165"/>
      <c r="K159" s="165"/>
      <c r="L159" s="165"/>
      <c r="M159" s="165"/>
      <c r="N159" s="165"/>
      <c r="O159" s="165"/>
      <c r="P159" s="165"/>
      <c r="Q159" s="165"/>
    </row>
    <row r="160" spans="1:17" x14ac:dyDescent="0.2">
      <c r="A160" s="60"/>
      <c r="B160" s="60"/>
      <c r="C160" s="292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</row>
    <row r="161" spans="1:17" x14ac:dyDescent="0.2">
      <c r="A161" t="s">
        <v>161</v>
      </c>
      <c r="B161"/>
      <c r="C161" s="67">
        <f>'Input Property 1'!$B$21</f>
        <v>43646</v>
      </c>
      <c r="D161" s="67">
        <f t="shared" ref="D161:Q161" si="29">DATE(YEAR(C161)+1,MONTH(C161),DAY(C161))</f>
        <v>44012</v>
      </c>
      <c r="E161" s="67">
        <f t="shared" si="29"/>
        <v>44377</v>
      </c>
      <c r="F161" s="67">
        <f t="shared" si="29"/>
        <v>44742</v>
      </c>
      <c r="G161" s="67">
        <f t="shared" si="29"/>
        <v>45107</v>
      </c>
      <c r="H161" s="67">
        <f t="shared" si="29"/>
        <v>45473</v>
      </c>
      <c r="I161" s="67">
        <f t="shared" si="29"/>
        <v>45838</v>
      </c>
      <c r="J161" s="67">
        <f t="shared" si="29"/>
        <v>46203</v>
      </c>
      <c r="K161" s="67">
        <f t="shared" si="29"/>
        <v>46568</v>
      </c>
      <c r="L161" s="67">
        <f t="shared" si="29"/>
        <v>46934</v>
      </c>
      <c r="M161" s="67">
        <f t="shared" si="29"/>
        <v>47299</v>
      </c>
      <c r="N161" s="67">
        <f t="shared" si="29"/>
        <v>47664</v>
      </c>
      <c r="O161" s="67">
        <f t="shared" si="29"/>
        <v>48029</v>
      </c>
      <c r="P161" s="67">
        <f t="shared" si="29"/>
        <v>48395</v>
      </c>
      <c r="Q161" s="67">
        <f t="shared" si="29"/>
        <v>48760</v>
      </c>
    </row>
    <row r="162" spans="1:17" x14ac:dyDescent="0.2">
      <c r="A162" t="s">
        <v>154</v>
      </c>
      <c r="B162"/>
      <c r="C162" s="55">
        <f>IF(('Input Property 1'!$B$21-'Input Property 1'!$B$20)&gt;360,0, 'Input Property 1'!$B$21-'Input Property 1'!$B$20)</f>
        <v>23</v>
      </c>
      <c r="D162" s="55">
        <f>IF('Input Property 1'!$B$33&gt;D161,D161-C161,IF('Input Property 1'!$B$33&lt;C161,0,'Input Property 1'!$B$33-C161))</f>
        <v>366</v>
      </c>
      <c r="E162" s="55">
        <f>IF('Input Property 1'!$B$33&gt;E161,E161-D161,IF('Input Property 1'!$B$33&lt;D161,0,'Input Property 1'!$B$33-D161))</f>
        <v>365</v>
      </c>
      <c r="F162" s="55">
        <f>IF('Input Property 1'!$B$33&gt;F161,F161-E161,IF('Input Property 1'!$B$33&lt;E161,0,'Input Property 1'!$B$33-E161))</f>
        <v>365</v>
      </c>
      <c r="G162" s="55">
        <f>IF('Input Property 1'!$B$33&gt;G161,G161-F161,IF('Input Property 1'!$B$33&lt;F161,0,'Input Property 1'!$B$33-F161))</f>
        <v>365</v>
      </c>
      <c r="H162" s="55">
        <f>IF('Input Property 1'!$B$33&gt;H161,H161-G161,IF('Input Property 1'!$B$33&lt;G161,0,'Input Property 1'!$B$33-G161))</f>
        <v>366</v>
      </c>
      <c r="I162" s="55">
        <f>IF('Input Property 1'!$B$33&gt;I161,I161-H161,IF('Input Property 1'!$B$33&lt;H161,0,'Input Property 1'!$B$33-H161))</f>
        <v>365</v>
      </c>
      <c r="J162" s="55">
        <f>IF('Input Property 1'!$B$33&gt;J161,J161-I161,IF('Input Property 1'!$B$33&lt;I161,0,'Input Property 1'!$B$33-I161))</f>
        <v>365</v>
      </c>
      <c r="K162" s="55">
        <f>IF('Input Property 1'!$B$33&gt;K161,K161-J161,IF('Input Property 1'!$B$33&lt;J161,0,'Input Property 1'!$B$33-J161))</f>
        <v>365</v>
      </c>
      <c r="L162" s="55">
        <f>IF('Input Property 1'!$B$33&gt;L161,L161-K161,IF('Input Property 1'!$B$33&lt;K161,0,'Input Property 1'!$B$33-K161))</f>
        <v>366</v>
      </c>
      <c r="M162" s="55">
        <f>IF('Input Property 1'!$B$33&gt;M161,M161-L161,IF('Input Property 1'!$B$33&lt;L161,0,'Input Property 1'!$B$33-L161))</f>
        <v>365</v>
      </c>
      <c r="N162" s="55">
        <f>IF('Input Property 1'!$B$33&gt;N161,N161-M161,IF('Input Property 1'!$B$33&lt;M161,0,'Input Property 1'!$B$33-M161))</f>
        <v>365</v>
      </c>
      <c r="O162" s="55">
        <f>IF('Input Property 1'!$B$33&gt;O161,O161-N161,IF('Input Property 1'!$B$33&lt;N161,0,'Input Property 1'!$B$33-N161))</f>
        <v>365</v>
      </c>
      <c r="P162" s="55">
        <f>IF('Input Property 1'!$B$33&gt;P161,P161-O161,IF('Input Property 1'!$B$33&lt;O161,0,'Input Property 1'!$B$33-O161))</f>
        <v>366</v>
      </c>
      <c r="Q162" s="55">
        <f>IF('Input Property 1'!$B$33&gt;Q161,Q161-P161,IF('Input Property 1'!$B$33&lt;P161,0,'Input Property 1'!$B$33-P161))</f>
        <v>365</v>
      </c>
    </row>
    <row r="163" spans="1:17" x14ac:dyDescent="0.2">
      <c r="A163" s="27" t="s">
        <v>17</v>
      </c>
      <c r="B163" s="24">
        <f>'Input Property 1'!$B$6</f>
        <v>330</v>
      </c>
      <c r="C163" s="43">
        <f>'Data Property 1'!B163</f>
        <v>330</v>
      </c>
      <c r="D163" s="43">
        <f>C163*(1+'Input Property 1'!B50)</f>
        <v>341.54999999999995</v>
      </c>
      <c r="E163" s="43">
        <f>D163*(1+'Input Property 1'!C50)</f>
        <v>353.5042499999999</v>
      </c>
      <c r="F163" s="43">
        <f>E163*(1+'Input Property 1'!D50)</f>
        <v>365.8768987499999</v>
      </c>
      <c r="G163" s="43">
        <f>F163*(1+'Input Property 1'!E50)</f>
        <v>378.68259020624987</v>
      </c>
      <c r="H163" s="43">
        <f>G163*(1+'Input Property 1'!F50)</f>
        <v>391.9364808634686</v>
      </c>
      <c r="I163" s="43">
        <f>H163*(1+'Input Property 1'!G50)</f>
        <v>405.65425769369</v>
      </c>
      <c r="J163" s="43">
        <f>I163*(1+'Input Property 1'!H50)</f>
        <v>419.85215671296913</v>
      </c>
      <c r="K163" s="43">
        <f>J163*(1+'Input Property 1'!I50)</f>
        <v>434.546982197923</v>
      </c>
      <c r="L163" s="43">
        <f>K163*(1+'Input Property 1'!J50)</f>
        <v>449.75612657485027</v>
      </c>
      <c r="M163" s="43">
        <f>L163*(1+'Input Property 1'!K50)</f>
        <v>465.49759100496999</v>
      </c>
      <c r="N163" s="43">
        <f>M163*(1+'Input Property 1'!L50)</f>
        <v>481.79000669014391</v>
      </c>
      <c r="O163" s="43">
        <f>N163*(1+'Input Property 1'!M50)</f>
        <v>498.65265692429892</v>
      </c>
      <c r="P163" s="43">
        <f>O163*(1+'Input Property 1'!N50)</f>
        <v>516.10549991664936</v>
      </c>
      <c r="Q163" s="43">
        <f>P163*(1+'Input Property 1'!O50)</f>
        <v>534.16919241373205</v>
      </c>
    </row>
    <row r="164" spans="1:17" x14ac:dyDescent="0.2">
      <c r="A164" s="38" t="s">
        <v>123</v>
      </c>
      <c r="B164" s="24"/>
      <c r="C164" s="55">
        <f>IF(C162=0,0,(C162-'Input Property 1'!B53)/7)</f>
        <v>1.2857142857142858</v>
      </c>
      <c r="D164" s="55">
        <f>IF(D162=0,0,(D162-'Input Property 1'!C53)/7)</f>
        <v>50.285714285714285</v>
      </c>
      <c r="E164" s="55">
        <f>IF(E162=0,0,(E162-'Input Property 1'!D53)/7)</f>
        <v>50.142857142857146</v>
      </c>
      <c r="F164" s="55">
        <f>IF(F162=0,0,(F162-'Input Property 1'!E53)/7)</f>
        <v>50.142857142857146</v>
      </c>
      <c r="G164" s="55">
        <f>IF(G162=0,0,(G162-'Input Property 1'!F53)/7)</f>
        <v>50.142857142857146</v>
      </c>
      <c r="H164" s="55">
        <f>IF(H162=0,0,(H162-'Input Property 1'!G53)/7)</f>
        <v>50.285714285714285</v>
      </c>
      <c r="I164" s="55">
        <f>IF(I162=0,0,(I162-'Input Property 1'!H53)/7)</f>
        <v>50.142857142857146</v>
      </c>
      <c r="J164" s="55">
        <f>IF(J162=0,0,(J162-'Input Property 1'!I53)/7)</f>
        <v>50.142857142857146</v>
      </c>
      <c r="K164" s="55">
        <f>IF(K162=0,0,(K162-'Input Property 1'!J53)/7)</f>
        <v>50.142857142857146</v>
      </c>
      <c r="L164" s="55">
        <f>IF(L162=0,0,(L162-'Input Property 1'!K53)/7)</f>
        <v>50.285714285714285</v>
      </c>
      <c r="M164" s="55">
        <f>IF(M162=0,0,(M162-'Input Property 1'!L53)/7)</f>
        <v>50.142857142857146</v>
      </c>
      <c r="N164" s="55">
        <f>IF(N162=0,0,(N162-'Input Property 1'!M53)/7)</f>
        <v>50.142857142857146</v>
      </c>
      <c r="O164" s="55">
        <f>IF(O162=0,0,(O162-'Input Property 1'!N53)/7)</f>
        <v>50.142857142857146</v>
      </c>
      <c r="P164" s="55">
        <f>IF(P162=0,0,(P162-'Input Property 1'!O53)/7)</f>
        <v>50.285714285714285</v>
      </c>
      <c r="Q164" s="55">
        <f>IF(Q162=0,0,(Q162-'Input Property 1'!P53)/7)</f>
        <v>50.142857142857146</v>
      </c>
    </row>
    <row r="165" spans="1:17" x14ac:dyDescent="0.2">
      <c r="A165" s="27" t="s">
        <v>175</v>
      </c>
      <c r="B165" s="24"/>
      <c r="C165" s="24">
        <f t="shared" ref="C165:Q165" si="30">C164*C163</f>
        <v>424.28571428571433</v>
      </c>
      <c r="D165" s="24">
        <f t="shared" si="30"/>
        <v>17175.085714285713</v>
      </c>
      <c r="E165" s="24">
        <f t="shared" si="30"/>
        <v>17725.713107142852</v>
      </c>
      <c r="F165" s="24">
        <f t="shared" si="30"/>
        <v>18346.113065892852</v>
      </c>
      <c r="G165" s="24">
        <f t="shared" si="30"/>
        <v>18988.227023199102</v>
      </c>
      <c r="H165" s="24">
        <f t="shared" si="30"/>
        <v>19708.805894848705</v>
      </c>
      <c r="I165" s="24">
        <f t="shared" si="30"/>
        <v>20340.663492926458</v>
      </c>
      <c r="J165" s="24">
        <f t="shared" si="30"/>
        <v>21052.586715178881</v>
      </c>
      <c r="K165" s="24">
        <f t="shared" si="30"/>
        <v>21789.427250210141</v>
      </c>
      <c r="L165" s="24">
        <f t="shared" si="30"/>
        <v>22616.308079192469</v>
      </c>
      <c r="M165" s="24">
        <f t="shared" si="30"/>
        <v>23341.379206106354</v>
      </c>
      <c r="N165" s="24">
        <f t="shared" si="30"/>
        <v>24158.327478320076</v>
      </c>
      <c r="O165" s="24">
        <f t="shared" si="30"/>
        <v>25003.868940061275</v>
      </c>
      <c r="P165" s="24">
        <f t="shared" si="30"/>
        <v>25952.733710094366</v>
      </c>
      <c r="Q165" s="24">
        <f t="shared" si="30"/>
        <v>26784.769505317137</v>
      </c>
    </row>
    <row r="166" spans="1:17" x14ac:dyDescent="0.2">
      <c r="A166" s="9" t="s">
        <v>51</v>
      </c>
      <c r="B166" s="18"/>
      <c r="C166" s="69" t="s">
        <v>118</v>
      </c>
      <c r="D166" s="69" t="s">
        <v>157</v>
      </c>
      <c r="E166" s="69" t="s">
        <v>174</v>
      </c>
      <c r="F166" s="69" t="s">
        <v>176</v>
      </c>
      <c r="G166" s="69" t="s">
        <v>181</v>
      </c>
      <c r="H166" s="69" t="s">
        <v>182</v>
      </c>
      <c r="I166" s="69" t="s">
        <v>183</v>
      </c>
      <c r="J166" s="69" t="s">
        <v>184</v>
      </c>
      <c r="K166" s="69" t="s">
        <v>185</v>
      </c>
      <c r="L166" s="69" t="s">
        <v>186</v>
      </c>
      <c r="M166" s="69" t="s">
        <v>187</v>
      </c>
      <c r="N166" s="69" t="s">
        <v>188</v>
      </c>
      <c r="O166" s="69" t="s">
        <v>189</v>
      </c>
      <c r="P166" s="69" t="s">
        <v>190</v>
      </c>
      <c r="Q166" s="69" t="s">
        <v>191</v>
      </c>
    </row>
    <row r="167" spans="1:17" x14ac:dyDescent="0.2">
      <c r="A167" s="17" t="s">
        <v>112</v>
      </c>
      <c r="B167" s="34" t="s">
        <v>69</v>
      </c>
      <c r="C167" s="24">
        <f>IF(C162=0,0,('Input Property 1'!$B$16*'Input Property 1'!B55)*(C162/365))</f>
        <v>849.41457534246581</v>
      </c>
      <c r="D167" s="24">
        <f>IF(D162=0,0,('Input Property 1'!$B$16*'Input Property 1'!C55)*(D162/365))</f>
        <v>13516.771068493152</v>
      </c>
      <c r="E167" s="24">
        <f>IF(E162=0,0,('Input Property 1'!$B$16*'Input Property 1'!D55)*(E162/365))</f>
        <v>13479.84</v>
      </c>
      <c r="F167" s="24">
        <f>IF(F162=0,0,('Input Property 1'!$B$16*'Input Property 1'!E55)*(F162/365))</f>
        <v>13479.84</v>
      </c>
      <c r="G167" s="24">
        <f>IF(G162=0,0,('Input Property 1'!$B$16*'Input Property 1'!F55)*(G162/365))</f>
        <v>13479.84</v>
      </c>
      <c r="H167" s="24">
        <f>IF(H162=0,0,('Input Property 1'!$B$16*'Input Property 1'!G55)*(H162/365))</f>
        <v>13516.771068493152</v>
      </c>
      <c r="I167" s="24">
        <f>IF(I162=0,0,('Input Property 1'!$B$16*'Input Property 1'!H55)*(I162/365))</f>
        <v>13479.84</v>
      </c>
      <c r="J167" s="24">
        <f>IF(J162=0,0,('Input Property 1'!$B$16*'Input Property 1'!I55)*(J162/365))</f>
        <v>13479.84</v>
      </c>
      <c r="K167" s="24">
        <f>IF(K162=0,0,('Input Property 1'!$B$16*'Input Property 1'!J55)*(K162/365))</f>
        <v>13479.84</v>
      </c>
      <c r="L167" s="24">
        <f>IF(L162=0,0,('Input Property 1'!$B$16*'Input Property 1'!K55)*(L162/365))</f>
        <v>13516.771068493152</v>
      </c>
      <c r="M167" s="24">
        <f>IF(M162=0,0,('Input Property 1'!$B$16*'Input Property 1'!L55)*(M162/365))</f>
        <v>13479.84</v>
      </c>
      <c r="N167" s="24">
        <f>IF(N162=0,0,('Input Property 1'!$B$16*'Input Property 1'!M55)*(N162/365))</f>
        <v>13479.84</v>
      </c>
      <c r="O167" s="24">
        <f>IF(O162=0,0,('Input Property 1'!$B$16*'Input Property 1'!N55)*(O162/365))</f>
        <v>13479.84</v>
      </c>
      <c r="P167" s="24">
        <f>IF(P162=0,0,('Input Property 1'!$B$16*'Input Property 1'!O55)*(P162/365))</f>
        <v>13516.771068493152</v>
      </c>
      <c r="Q167" s="24">
        <f>IF(Q162=0,0,('Input Property 1'!$B$16*'Input Property 1'!P55)*(Q162/365))</f>
        <v>13479.84</v>
      </c>
    </row>
    <row r="168" spans="1:17" x14ac:dyDescent="0.2">
      <c r="A168" s="17" t="s">
        <v>113</v>
      </c>
      <c r="B168" s="34" t="s">
        <v>69</v>
      </c>
      <c r="C168" s="24">
        <f>('Input Property 1'!B17*'Input Property 1'!B19/(C162/365))</f>
        <v>0</v>
      </c>
      <c r="D168" s="24">
        <f t="shared" ref="D168:Q168" si="31">C168</f>
        <v>0</v>
      </c>
      <c r="E168" s="24">
        <f t="shared" si="31"/>
        <v>0</v>
      </c>
      <c r="F168" s="24">
        <f t="shared" si="31"/>
        <v>0</v>
      </c>
      <c r="G168" s="24">
        <f t="shared" si="31"/>
        <v>0</v>
      </c>
      <c r="H168" s="24">
        <f t="shared" si="31"/>
        <v>0</v>
      </c>
      <c r="I168" s="24">
        <f t="shared" si="31"/>
        <v>0</v>
      </c>
      <c r="J168" s="24">
        <f t="shared" si="31"/>
        <v>0</v>
      </c>
      <c r="K168" s="24">
        <f t="shared" si="31"/>
        <v>0</v>
      </c>
      <c r="L168" s="24">
        <f t="shared" si="31"/>
        <v>0</v>
      </c>
      <c r="M168" s="24">
        <f t="shared" si="31"/>
        <v>0</v>
      </c>
      <c r="N168" s="24">
        <f t="shared" si="31"/>
        <v>0</v>
      </c>
      <c r="O168" s="24">
        <f t="shared" si="31"/>
        <v>0</v>
      </c>
      <c r="P168" s="24">
        <f t="shared" si="31"/>
        <v>0</v>
      </c>
      <c r="Q168" s="24">
        <f t="shared" si="31"/>
        <v>0</v>
      </c>
    </row>
    <row r="169" spans="1:17" x14ac:dyDescent="0.2">
      <c r="A169" s="17" t="str">
        <f>'Input Property 1'!I17</f>
        <v>Property Management</v>
      </c>
      <c r="B169" s="372">
        <f>'Input Property 1'!$B$58</f>
        <v>7.0000000000000007E-2</v>
      </c>
      <c r="C169" s="24">
        <f>(C165*'Data Property 1'!$B$169)</f>
        <v>29.700000000000006</v>
      </c>
      <c r="D169" s="63">
        <f>D165*'Input Property 1'!C58</f>
        <v>1202.2560000000001</v>
      </c>
      <c r="E169" s="24">
        <f>E165*'Input Property 1'!D58</f>
        <v>1240.7999174999998</v>
      </c>
      <c r="F169" s="24">
        <f>F165*'Input Property 1'!E58</f>
        <v>1284.2279146124997</v>
      </c>
      <c r="G169" s="24">
        <f>G165*'Input Property 1'!F58</f>
        <v>1329.1758916239373</v>
      </c>
      <c r="H169" s="24">
        <f>H165*'Input Property 1'!G58</f>
        <v>1379.6164126394094</v>
      </c>
      <c r="I169" s="24">
        <f>I165*'Input Property 1'!H58</f>
        <v>1423.8464445048521</v>
      </c>
      <c r="J169" s="24">
        <f>J165*'Input Property 1'!I58</f>
        <v>1473.6810700625217</v>
      </c>
      <c r="K169" s="24">
        <f>K165*'Input Property 1'!J58</f>
        <v>1525.25990751471</v>
      </c>
      <c r="L169" s="24">
        <f>L165*'Input Property 1'!K58</f>
        <v>1583.141565543473</v>
      </c>
      <c r="M169" s="24">
        <f>M165*'Input Property 1'!L58</f>
        <v>1633.896544427445</v>
      </c>
      <c r="N169" s="24">
        <f>N165*'Input Property 1'!M58</f>
        <v>1691.0829234824055</v>
      </c>
      <c r="O169" s="24">
        <f>O165*'Input Property 1'!N58</f>
        <v>1750.2708258042894</v>
      </c>
      <c r="P169" s="24">
        <f>P165*'Input Property 1'!O58</f>
        <v>1816.6913597066057</v>
      </c>
      <c r="Q169" s="24">
        <f>Q165*'Input Property 1'!P58</f>
        <v>1874.9338653721998</v>
      </c>
    </row>
    <row r="170" spans="1:17" x14ac:dyDescent="0.2">
      <c r="A170" s="17" t="s">
        <v>56</v>
      </c>
      <c r="B170" s="373"/>
      <c r="C170" s="24">
        <f>IF(C162=0,0,C163*'Input Property 1'!B54)</f>
        <v>330</v>
      </c>
      <c r="D170" s="63">
        <f>IF(D162=0,0,D163*'Input Property 1'!C54)</f>
        <v>341.54999999999995</v>
      </c>
      <c r="E170" s="24">
        <f>IF(E162=0,0,E163*'Input Property 1'!D54)</f>
        <v>353.5042499999999</v>
      </c>
      <c r="F170" s="24">
        <f>IF(F162=0,0,F163*'Input Property 1'!E54)</f>
        <v>365.8768987499999</v>
      </c>
      <c r="G170" s="24">
        <f>IF(G162=0,0,G163*'Input Property 1'!F54)</f>
        <v>378.68259020624987</v>
      </c>
      <c r="H170" s="24">
        <f>IF(H162=0,0,H163*'Input Property 1'!G54)</f>
        <v>391.9364808634686</v>
      </c>
      <c r="I170" s="24">
        <f>IF(I162=0,0,I163*'Input Property 1'!H54)</f>
        <v>405.65425769369</v>
      </c>
      <c r="J170" s="24">
        <f>IF(J162=0,0,J163*'Input Property 1'!I54)</f>
        <v>419.85215671296913</v>
      </c>
      <c r="K170" s="24">
        <f>IF(K162=0,0,K163*'Input Property 1'!J54)</f>
        <v>434.546982197923</v>
      </c>
      <c r="L170" s="24">
        <f>IF(L162=0,0,L163*'Input Property 1'!K54)</f>
        <v>449.75612657485027</v>
      </c>
      <c r="M170" s="24">
        <f>IF(M162=0,0,M163*'Input Property 1'!L54)</f>
        <v>465.49759100496999</v>
      </c>
      <c r="N170" s="24">
        <f>IF(N162=0,0,N163*'Input Property 1'!M54)</f>
        <v>481.79000669014391</v>
      </c>
      <c r="O170" s="24">
        <f>IF(O162=0,0,O163*'Input Property 1'!N54)</f>
        <v>498.65265692429892</v>
      </c>
      <c r="P170" s="24">
        <f>IF(P162=0,0,P163*'Input Property 1'!O54)</f>
        <v>516.10549991664936</v>
      </c>
      <c r="Q170" s="24">
        <f>IF(Q162=0,0,Q163*'Input Property 1'!P54)</f>
        <v>534.16919241373205</v>
      </c>
    </row>
    <row r="171" spans="1:17" x14ac:dyDescent="0.2">
      <c r="A171" s="17" t="str">
        <f>'Input Property 1'!J18</f>
        <v>Insurance</v>
      </c>
      <c r="B171" s="373">
        <f>'Input Property 1'!$K$18</f>
        <v>1000</v>
      </c>
      <c r="C171" s="24">
        <f>IF(C162=0,0,'Data Property 1'!B171*(C162/365))</f>
        <v>63.013698630136993</v>
      </c>
      <c r="D171" s="63">
        <f>IF(D162=0,0,('Data Property 1'!B171*(1+'Input Property 1'!C51))*(D162/(D161-C161)))</f>
        <v>1025</v>
      </c>
      <c r="E171" s="63">
        <f>IF(E162=0,0,(D171*(1+'Input Property 1'!D51))*(E162/(E161-D161)))</f>
        <v>1050.625</v>
      </c>
      <c r="F171" s="63">
        <f>IF(F162=0,0,(E171*(1+'Input Property 1'!E51))*(F162/(F161-E161)))</f>
        <v>1076.890625</v>
      </c>
      <c r="G171" s="63">
        <f>IF(G162=0,0,(F171*(1+'Input Property 1'!F51))*(G162/(G161-F161)))</f>
        <v>1103.8128906249999</v>
      </c>
      <c r="H171" s="63">
        <f>IF(H162=0,0,(G171*(1+'Input Property 1'!G51))*(H162/(H161-G161)))</f>
        <v>1131.4082128906248</v>
      </c>
      <c r="I171" s="63">
        <f>IF(I162=0,0,(H171*(1+'Input Property 1'!H51))*(I162/(I161-H161)))</f>
        <v>1159.6934182128903</v>
      </c>
      <c r="J171" s="63">
        <f>IF(J162=0,0,(I171*(1+'Input Property 1'!I51))*(J162/(J161-I161)))</f>
        <v>1188.6857536682123</v>
      </c>
      <c r="K171" s="63">
        <f>IF(K162=0,0,(J171*(1+'Input Property 1'!J51))*(K162/(K161-J161)))</f>
        <v>1218.4028975099175</v>
      </c>
      <c r="L171" s="63">
        <f>IF(L162=0,0,(K171*(1+'Input Property 1'!K51))*(L162/(L161-K161)))</f>
        <v>1248.8629699476653</v>
      </c>
      <c r="M171" s="63">
        <f>IF(M162=0,0,(L171*(1+'Input Property 1'!L51))*(M162/(M161-L161)))</f>
        <v>1280.0845441963568</v>
      </c>
      <c r="N171" s="63">
        <f>IF(N162=0,0,(M171*(1+'Input Property 1'!M51))*(N162/(N161-M161)))</f>
        <v>1312.0866578012656</v>
      </c>
      <c r="O171" s="63">
        <f>IF(O162=0,0,(N171*(1+'Input Property 1'!N51))*(O162/(O161-N161)))</f>
        <v>1344.8888242462972</v>
      </c>
      <c r="P171" s="63">
        <f>IF(P162=0,0,(O171*(1+'Input Property 1'!O51))*(P162/(P161-O161)))</f>
        <v>1378.5110448524545</v>
      </c>
      <c r="Q171" s="63">
        <f>IF(Q162=0,0,(P171*(1+'Input Property 1'!P51))*(Q162/(Q161-P161)))</f>
        <v>1412.9738209737657</v>
      </c>
    </row>
    <row r="172" spans="1:17" x14ac:dyDescent="0.2">
      <c r="A172" s="17" t="str">
        <f>'Input Property 1'!J19</f>
        <v>Maintenance</v>
      </c>
      <c r="B172" s="373">
        <f>'Input Property 1'!$K$19</f>
        <v>500</v>
      </c>
      <c r="C172" s="24">
        <f>IF(C162=0,0,'Data Property 1'!B172*(C162/365))</f>
        <v>31.506849315068497</v>
      </c>
      <c r="D172" s="63">
        <f>IF(D162=0,0,('Data Property 1'!B172*(1+'Input Property 1'!B51))*(D162/(D161-C161)))</f>
        <v>512.5</v>
      </c>
      <c r="E172" s="63">
        <f>IF(E162=0,0,(D172*(1+'Input Property 1'!C51))*(E162/(E161-D161)))</f>
        <v>525.3125</v>
      </c>
      <c r="F172" s="63">
        <f>IF(F162=0,0,(E172*(1+'Input Property 1'!D51))*(F162/(F161-E161)))</f>
        <v>538.4453125</v>
      </c>
      <c r="G172" s="63">
        <f>IF(G162=0,0,(F172*(1+'Input Property 1'!E51))*(G162/(G161-F161)))</f>
        <v>551.90644531249995</v>
      </c>
      <c r="H172" s="63">
        <f>IF(H162=0,0,(G172*(1+'Input Property 1'!F51))*(H162/(H161-G161)))</f>
        <v>565.70410644531239</v>
      </c>
      <c r="I172" s="63">
        <f>IF(I162=0,0,(H172*(1+'Input Property 1'!G51))*(I162/(I161-H161)))</f>
        <v>579.84670910644513</v>
      </c>
      <c r="J172" s="63">
        <f>IF(J162=0,0,(I172*(1+'Input Property 1'!H51))*(J162/(J161-I161)))</f>
        <v>594.34287683410616</v>
      </c>
      <c r="K172" s="63">
        <f>IF(K162=0,0,(J172*(1+'Input Property 1'!I51))*(K162/(K161-J161)))</f>
        <v>609.20144875495873</v>
      </c>
      <c r="L172" s="63">
        <f>IF(L162=0,0,(K172*(1+'Input Property 1'!J51))*(L162/(L161-K161)))</f>
        <v>624.43148497383265</v>
      </c>
      <c r="M172" s="63">
        <f>IF(M162=0,0,(L172*(1+'Input Property 1'!K51))*(M162/(M161-L161)))</f>
        <v>640.04227209817839</v>
      </c>
      <c r="N172" s="63">
        <f>IF(N162=0,0,(M172*(1+'Input Property 1'!L51))*(N162/(N161-M161)))</f>
        <v>656.04332890063279</v>
      </c>
      <c r="O172" s="63">
        <f>IF(O162=0,0,(N172*(1+'Input Property 1'!M51))*(O162/(O161-N161)))</f>
        <v>672.4444121231486</v>
      </c>
      <c r="P172" s="63">
        <f>IF(P162=0,0,(O172*(1+'Input Property 1'!N51))*(P162/(P161-O161)))</f>
        <v>689.25552242622723</v>
      </c>
      <c r="Q172" s="63">
        <f>IF(Q162=0,0,(P172*(1+'Input Property 1'!O51))*(Q162/(Q161-P161)))</f>
        <v>706.48691048688283</v>
      </c>
    </row>
    <row r="173" spans="1:17" x14ac:dyDescent="0.2">
      <c r="A173" s="17" t="str">
        <f>'Input Property 1'!J20</f>
        <v>Strata</v>
      </c>
      <c r="B173" s="373">
        <f>'Input Property 1'!$K$20</f>
        <v>0</v>
      </c>
      <c r="C173" s="24">
        <f>IF(C162=0,0,'Data Property 1'!B173*(C162/365))</f>
        <v>0</v>
      </c>
      <c r="D173" s="63">
        <f>IF(D162=0,0,('Data Property 1'!B173+('Data Property 1'!B173*'Input Property 1'!C$51))*(D162/(D161-C161)))</f>
        <v>0</v>
      </c>
      <c r="E173" s="63">
        <f>IF(E162=0,0,(D173+(D173*'Input Property 1'!D$51))*(E162/(E161-D161)))</f>
        <v>0</v>
      </c>
      <c r="F173" s="63">
        <f>IF(F162=0,0,(E173+(E173*'Input Property 1'!E$51))*(F162/(F161-E161)))</f>
        <v>0</v>
      </c>
      <c r="G173" s="63">
        <f>IF(G162=0,0,(F173+(F173*'Input Property 1'!F$51))*(G162/(G161-F161)))</f>
        <v>0</v>
      </c>
      <c r="H173" s="63">
        <f>IF(H162=0,0,(G173+(G173*'Input Property 1'!G$51))*(H162/(H161-G161)))</f>
        <v>0</v>
      </c>
      <c r="I173" s="63">
        <f>IF(I162=0,0,(H173+(H173*'Input Property 1'!H$51))*(I162/(I161-H161)))</f>
        <v>0</v>
      </c>
      <c r="J173" s="63">
        <f>IF(J162=0,0,(I173+(I173*'Input Property 1'!I$51))*(J162/(J161-I161)))</f>
        <v>0</v>
      </c>
      <c r="K173" s="63">
        <f>IF(K162=0,0,(J173+(J173*'Input Property 1'!J$51))*(K162/(K161-J161)))</f>
        <v>0</v>
      </c>
      <c r="L173" s="63">
        <f>IF(L162=0,0,(K173+(K173*'Input Property 1'!K$51))*(L162/(L161-K161)))</f>
        <v>0</v>
      </c>
      <c r="M173" s="63">
        <f>IF(M162=0,0,(L173+(L173*'Input Property 1'!L$51))*(M162/(M161-L161)))</f>
        <v>0</v>
      </c>
      <c r="N173" s="63">
        <f>IF(N162=0,0,(M173+(M173*'Input Property 1'!M$51))*(N162/(N161-M161)))</f>
        <v>0</v>
      </c>
      <c r="O173" s="63">
        <f>IF(O162=0,0,(N173+(N173*'Input Property 1'!N$51))*(O162/(O161-N161)))</f>
        <v>0</v>
      </c>
      <c r="P173" s="63">
        <f>IF(P162=0,0,(O173+(O173*'Input Property 1'!O$51))*(P162/(P161-O161)))</f>
        <v>0</v>
      </c>
      <c r="Q173" s="63">
        <f>IF(Q162=0,0,(P173+(P173*'Input Property 1'!P$51))*(Q162/(Q161-P161)))</f>
        <v>0</v>
      </c>
    </row>
    <row r="174" spans="1:17" x14ac:dyDescent="0.2">
      <c r="A174" s="17" t="str">
        <f>'Input Property 1'!J21</f>
        <v>Water Charges</v>
      </c>
      <c r="B174" s="373">
        <f>'Input Property 1'!$K$21</f>
        <v>600</v>
      </c>
      <c r="C174" s="24">
        <f>IF(C162=0,0,'Data Property 1'!B174*(C162/365))</f>
        <v>37.808219178082197</v>
      </c>
      <c r="D174" s="24">
        <f>IF(D162=0,0,('Data Property 1'!B174+('Data Property 1'!B174*'Input Property 1'!C$51))*(D162/(D161-C161)))</f>
        <v>615</v>
      </c>
      <c r="E174" s="24">
        <f>IF(E162=0,0,(D174+(D174*'Input Property 1'!D$51))*(E162/(E161-D161)))</f>
        <v>630.375</v>
      </c>
      <c r="F174" s="24">
        <f>IF(F162=0,0,(E174+(E174*'Input Property 1'!E$51))*(F162/(F161-E161)))</f>
        <v>646.13437499999998</v>
      </c>
      <c r="G174" s="24">
        <f>IF(G162=0,0,(F174+(F174*'Input Property 1'!F$51))*(G162/(G161-F161)))</f>
        <v>662.28773437500001</v>
      </c>
      <c r="H174" s="24">
        <f>IF(H162=0,0,(G174+(G174*'Input Property 1'!G$51))*(H162/(H161-G161)))</f>
        <v>678.84492773437501</v>
      </c>
      <c r="I174" s="24">
        <f>IF(I162=0,0,(H174+(H174*'Input Property 1'!H$51))*(I162/(I161-H161)))</f>
        <v>695.81605092773441</v>
      </c>
      <c r="J174" s="24">
        <f>IF(J162=0,0,(I174+(I174*'Input Property 1'!I$51))*(J162/(J161-I161)))</f>
        <v>713.21145220092774</v>
      </c>
      <c r="K174" s="24">
        <f>IF(K162=0,0,(J174+(J174*'Input Property 1'!J$51))*(K162/(K161-J161)))</f>
        <v>731.04173850595089</v>
      </c>
      <c r="L174" s="24">
        <f>IF(L162=0,0,(K174+(K174*'Input Property 1'!K$51))*(L162/(L161-K161)))</f>
        <v>749.31778196859966</v>
      </c>
      <c r="M174" s="24">
        <f>IF(M162=0,0,(L174+(L174*'Input Property 1'!L$51))*(M162/(M161-L161)))</f>
        <v>768.05072651781461</v>
      </c>
      <c r="N174" s="24">
        <f>IF(N162=0,0,(M174+(M174*'Input Property 1'!M$51))*(N162/(N161-M161)))</f>
        <v>787.25199468075994</v>
      </c>
      <c r="O174" s="24">
        <f>IF(O162=0,0,(N174+(N174*'Input Property 1'!N$51))*(O162/(O161-N161)))</f>
        <v>806.93329454777893</v>
      </c>
      <c r="P174" s="24">
        <f>IF(P162=0,0,(O174+(O174*'Input Property 1'!O$51))*(P162/(P161-O161)))</f>
        <v>827.10662691147343</v>
      </c>
      <c r="Q174" s="24">
        <f>IF(Q162=0,0,(P174+(P174*'Input Property 1'!P$51))*(Q162/(Q161-P161)))</f>
        <v>847.78429258426024</v>
      </c>
    </row>
    <row r="175" spans="1:17" x14ac:dyDescent="0.2">
      <c r="A175" s="17" t="str">
        <f>'Input Property 1'!J22</f>
        <v>Cleaning</v>
      </c>
      <c r="B175" s="373">
        <f>'Input Property 1'!$K$22</f>
        <v>0</v>
      </c>
      <c r="C175" s="24">
        <f>IF(C162=0,0,('Data Property 1'!B175+('Data Property 1'!B175*'Input Property 1'!B$51))*(C162/(365)))</f>
        <v>0</v>
      </c>
      <c r="D175" s="24">
        <f>IF(D162=0,0,('Data Property 1'!B175+('Data Property 1'!B175*'Input Property 1'!C$51))*(D162/(D161-C161)))</f>
        <v>0</v>
      </c>
      <c r="E175" s="24">
        <f>IF(E162=0,0,(D175+(D175*'Input Property 1'!D$51))*(E162/(E161-D161)))</f>
        <v>0</v>
      </c>
      <c r="F175" s="24">
        <f>IF(F162=0,0,(E175+(E175*'Input Property 1'!E$51))*(F162/(F161-E161)))</f>
        <v>0</v>
      </c>
      <c r="G175" s="24">
        <f>IF(G162=0,0,(F175+(F175*'Input Property 1'!F$51))*(G162/(G161-F161)))</f>
        <v>0</v>
      </c>
      <c r="H175" s="24">
        <f>IF(H162=0,0,(G175+(G175*'Input Property 1'!G$51))*(H162/(H161-G161)))</f>
        <v>0</v>
      </c>
      <c r="I175" s="24">
        <f>IF(I162=0,0,(H175+(H175*'Input Property 1'!H$51))*(I162/(I161-H161)))</f>
        <v>0</v>
      </c>
      <c r="J175" s="24">
        <f>IF(J162=0,0,(I175+(I175*'Input Property 1'!I$51))*(J162/(J161-I161)))</f>
        <v>0</v>
      </c>
      <c r="K175" s="24">
        <f>IF(K162=0,0,(J175+(J175*'Input Property 1'!J$51))*(K162/(K161-J161)))</f>
        <v>0</v>
      </c>
      <c r="L175" s="24">
        <f>IF(L162=0,0,(K175+(K175*'Input Property 1'!K$51))*(L162/(L161-K161)))</f>
        <v>0</v>
      </c>
      <c r="M175" s="24">
        <f>IF(M162=0,0,(L175+(L175*'Input Property 1'!L$51))*(M162/(M161-L161)))</f>
        <v>0</v>
      </c>
      <c r="N175" s="24">
        <f>IF(N162=0,0,(M175+(M175*'Input Property 1'!M$51))*(N162/(N161-M161)))</f>
        <v>0</v>
      </c>
      <c r="O175" s="24">
        <f>IF(O162=0,0,(N175+(N175*'Input Property 1'!N$51))*(O162/(O161-N161)))</f>
        <v>0</v>
      </c>
      <c r="P175" s="24">
        <f>IF(P162=0,0,(O175+(O175*'Input Property 1'!O$51))*(P162/(P161-O161)))</f>
        <v>0</v>
      </c>
      <c r="Q175" s="24">
        <f>IF(Q162=0,0,(P175+(P175*'Input Property 1'!P$51))*(Q162/(Q161-P161)))</f>
        <v>0</v>
      </c>
    </row>
    <row r="176" spans="1:17" x14ac:dyDescent="0.2">
      <c r="A176" s="17" t="str">
        <f>'Input Property 1'!J23</f>
        <v>Council Rates</v>
      </c>
      <c r="B176" s="373">
        <f>'Input Property 1'!$K$23</f>
        <v>1600</v>
      </c>
      <c r="C176" s="24">
        <f>IF(C162=0,0,'Data Property 1'!B176*(C162/365))</f>
        <v>100.82191780821918</v>
      </c>
      <c r="D176" s="24">
        <f>IF(D162=0,0,('Data Property 1'!B176+('Data Property 1'!B176*'Input Property 1'!C$51))*(D162/(D161-C161)))</f>
        <v>1640</v>
      </c>
      <c r="E176" s="24">
        <f>IF(E162=0,0,(D176+(D176*'Input Property 1'!D$51))*(E162/(E161-D161)))</f>
        <v>1681</v>
      </c>
      <c r="F176" s="24">
        <f>IF(F162=0,0,(E176+(E176*'Input Property 1'!E$51))*(F162/(F161-E161)))</f>
        <v>1723.0250000000001</v>
      </c>
      <c r="G176" s="24">
        <f>IF(G162=0,0,(F176+(F176*'Input Property 1'!F$51))*(G162/(G161-F161)))</f>
        <v>1766.100625</v>
      </c>
      <c r="H176" s="24">
        <f>IF(H162=0,0,(G176+(G176*'Input Property 1'!G$51))*(H162/(H161-G161)))</f>
        <v>1810.253140625</v>
      </c>
      <c r="I176" s="24">
        <f>IF(I162=0,0,(H176+(H176*'Input Property 1'!H$51))*(I162/(I161-H161)))</f>
        <v>1855.509469140625</v>
      </c>
      <c r="J176" s="24">
        <f>IF(J162=0,0,(I176+(I176*'Input Property 1'!I$51))*(J162/(J161-I161)))</f>
        <v>1901.8972058691406</v>
      </c>
      <c r="K176" s="24">
        <f>IF(K162=0,0,(J176+(J176*'Input Property 1'!J$51))*(K162/(K161-J161)))</f>
        <v>1949.444636015869</v>
      </c>
      <c r="L176" s="24">
        <f>IF(L162=0,0,(K176+(K176*'Input Property 1'!K$51))*(L162/(L161-K161)))</f>
        <v>1998.1807519162658</v>
      </c>
      <c r="M176" s="24">
        <f>IF(M162=0,0,(L176+(L176*'Input Property 1'!L$51))*(M162/(M161-L161)))</f>
        <v>2048.1352707141723</v>
      </c>
      <c r="N176" s="24">
        <f>IF(N162=0,0,(M176+(M176*'Input Property 1'!M$51))*(N162/(N161-M161)))</f>
        <v>2099.3386524820266</v>
      </c>
      <c r="O176" s="24">
        <f>IF(O162=0,0,(N176+(N176*'Input Property 1'!N$51))*(O162/(O161-N161)))</f>
        <v>2151.8221187940771</v>
      </c>
      <c r="P176" s="24">
        <f>IF(P162=0,0,(O176+(O176*'Input Property 1'!O$51))*(P162/(P161-O161)))</f>
        <v>2205.6176717639291</v>
      </c>
      <c r="Q176" s="24">
        <f>IF(Q162=0,0,(P176+(P176*'Input Property 1'!P$51))*(Q162/(Q161-P161)))</f>
        <v>2260.7581135580272</v>
      </c>
    </row>
    <row r="177" spans="1:17" x14ac:dyDescent="0.2">
      <c r="A177" s="17" t="str">
        <f>'Input Property 1'!J24</f>
        <v>Gardening / Mowing</v>
      </c>
      <c r="B177" s="373">
        <f>'Input Property 1'!$K$24</f>
        <v>0</v>
      </c>
      <c r="C177" s="24">
        <f>IF(C162=0,0,'Data Property 1'!B177*(C162/365))</f>
        <v>0</v>
      </c>
      <c r="D177" s="24">
        <f>IF(D162=0,0,('Data Property 1'!B177+('Data Property 1'!B177*'Input Property 1'!C$51))*(D162/(D161-C161)))</f>
        <v>0</v>
      </c>
      <c r="E177" s="24">
        <f>IF(E162=0,0,(D177+(D177*'Input Property 1'!D$51))*(E162/(E161-D161)))</f>
        <v>0</v>
      </c>
      <c r="F177" s="24">
        <f>IF(F162=0,0,(E177+(E177*'Input Property 1'!E$51))*(F162/(F161-E161)))</f>
        <v>0</v>
      </c>
      <c r="G177" s="24">
        <f>IF(G162=0,0,(F177+(F177*'Input Property 1'!F$51))*(G162/(G161-F161)))</f>
        <v>0</v>
      </c>
      <c r="H177" s="24">
        <f>IF(H162=0,0,(G177+(G177*'Input Property 1'!G$51))*(H162/(H161-G161)))</f>
        <v>0</v>
      </c>
      <c r="I177" s="24">
        <f>IF(I162=0,0,(H177+(H177*'Input Property 1'!H$51))*(I162/(I161-H161)))</f>
        <v>0</v>
      </c>
      <c r="J177" s="24">
        <f>IF(J162=0,0,(I177+(I177*'Input Property 1'!I$51))*(J162/(J161-I161)))</f>
        <v>0</v>
      </c>
      <c r="K177" s="24">
        <f>IF(K162=0,0,(J177+(J177*'Input Property 1'!J$51))*(K162/(K161-J161)))</f>
        <v>0</v>
      </c>
      <c r="L177" s="24">
        <f>IF(L162=0,0,(K177+(K177*'Input Property 1'!K$51))*(L162/(L161-K161)))</f>
        <v>0</v>
      </c>
      <c r="M177" s="24">
        <f>IF(M162=0,0,(L177+(L177*'Input Property 1'!L$51))*(M162/(M161-L161)))</f>
        <v>0</v>
      </c>
      <c r="N177" s="24">
        <f>IF(N162=0,0,(M177+(M177*'Input Property 1'!M$51))*(N162/(N161-M161)))</f>
        <v>0</v>
      </c>
      <c r="O177" s="24">
        <f>IF(O162=0,0,(N177+(N177*'Input Property 1'!N$51))*(O162/(O161-N161)))</f>
        <v>0</v>
      </c>
      <c r="P177" s="24">
        <f>IF(P162=0,0,(O177+(O177*'Input Property 1'!O$51))*(P162/(P161-O161)))</f>
        <v>0</v>
      </c>
      <c r="Q177" s="24">
        <f>IF(Q162=0,0,(P177+(P177*'Input Property 1'!P$51))*(Q162/(Q161-P161)))</f>
        <v>0</v>
      </c>
    </row>
    <row r="178" spans="1:17" x14ac:dyDescent="0.2">
      <c r="A178" s="17" t="str">
        <f>'Input Property 1'!J25</f>
        <v>Land Tax</v>
      </c>
      <c r="B178" s="373">
        <f>'Input Property 1'!$K$25</f>
        <v>0</v>
      </c>
      <c r="C178" s="24">
        <f>IF(C162=0,0,'Data Property 1'!B178*(C162/365))</f>
        <v>0</v>
      </c>
      <c r="D178" s="24">
        <f>IF(D162=0,0,('Data Property 1'!B178+('Data Property 1'!B178*'Input Property 1'!C$51))*(D162/(D161-C161)))</f>
        <v>0</v>
      </c>
      <c r="E178" s="24">
        <f>IF(E162=0,0,(D178+(D178*'Input Property 1'!D$51))*(E162/(E161-D161)))</f>
        <v>0</v>
      </c>
      <c r="F178" s="24">
        <f>IF(F162=0,0,(E178+(E178*'Input Property 1'!E$51))*(F162/(F161-E161)))</f>
        <v>0</v>
      </c>
      <c r="G178" s="24">
        <f>IF(G162=0,0,(F178+(F178*'Input Property 1'!F$51))*(G162/(G161-F161)))</f>
        <v>0</v>
      </c>
      <c r="H178" s="24">
        <f>IF(H162=0,0,(G178+(G178*'Input Property 1'!G$51))*(H162/(H161-G161)))</f>
        <v>0</v>
      </c>
      <c r="I178" s="24">
        <f>IF(I162=0,0,(H178+(H178*'Input Property 1'!H$51))*(I162/(I161-H161)))</f>
        <v>0</v>
      </c>
      <c r="J178" s="24">
        <f>IF(J162=0,0,(I178+(I178*'Input Property 1'!I$51))*(J162/(J161-I161)))</f>
        <v>0</v>
      </c>
      <c r="K178" s="24">
        <f>IF(K162=0,0,(J178+(J178*'Input Property 1'!J$51))*(K162/(K161-J161)))</f>
        <v>0</v>
      </c>
      <c r="L178" s="24">
        <f>IF(L162=0,0,(K178+(K178*'Input Property 1'!K$51))*(L162/(L161-K161)))</f>
        <v>0</v>
      </c>
      <c r="M178" s="24">
        <f>IF(M162=0,0,(L178+(L178*'Input Property 1'!L$51))*(M162/(M161-L161)))</f>
        <v>0</v>
      </c>
      <c r="N178" s="24">
        <f>IF(N162=0,0,(M178+(M178*'Input Property 1'!M$51))*(N162/(N161-M161)))</f>
        <v>0</v>
      </c>
      <c r="O178" s="24">
        <f>IF(O162=0,0,(N178+(N178*'Input Property 1'!N$51))*(O162/(O161-N161)))</f>
        <v>0</v>
      </c>
      <c r="P178" s="24">
        <f>IF(P162=0,0,(O178+(O178*'Input Property 1'!O$51))*(P162/(P161-O161)))</f>
        <v>0</v>
      </c>
      <c r="Q178" s="24">
        <f>IF(Q162=0,0,(P178+(P178*'Input Property 1'!P$51))*(Q162/(Q161-P161)))</f>
        <v>0</v>
      </c>
    </row>
    <row r="179" spans="1:17" x14ac:dyDescent="0.2">
      <c r="A179" s="17" t="str">
        <f>'Input Property 1'!J26</f>
        <v>Legal Expenses</v>
      </c>
      <c r="B179" s="373">
        <f>'Input Property 1'!$K$26</f>
        <v>0</v>
      </c>
      <c r="C179" s="24">
        <f>IF(C162=0,0,'Data Property 1'!B179*(C162/365))</f>
        <v>0</v>
      </c>
      <c r="D179" s="24">
        <f>IF(D162=0,0,('Data Property 1'!B179+('Data Property 1'!B179*'Input Property 1'!C$51))*(D162/(D161-C161)))</f>
        <v>0</v>
      </c>
      <c r="E179" s="24">
        <f>IF(E162=0,0,(D179+(D179*'Input Property 1'!D$51))*(E162/(E161-D161)))</f>
        <v>0</v>
      </c>
      <c r="F179" s="24">
        <f>IF(F162=0,0,(E179+(E179*'Input Property 1'!E$51))*(F162/(F161-E161)))</f>
        <v>0</v>
      </c>
      <c r="G179" s="24">
        <f>IF(G162=0,0,(F179+(F179*'Input Property 1'!F$51))*(G162/(G161-F161)))</f>
        <v>0</v>
      </c>
      <c r="H179" s="24">
        <f>IF(H162=0,0,(G179+(G179*'Input Property 1'!G$51))*(H162/(H161-G161)))</f>
        <v>0</v>
      </c>
      <c r="I179" s="24">
        <f>IF(I162=0,0,(H179+(H179*'Input Property 1'!H$51))*(I162/(I161-H161)))</f>
        <v>0</v>
      </c>
      <c r="J179" s="24">
        <f>IF(J162=0,0,(I179+(I179*'Input Property 1'!I$51))*(J162/(J161-I161)))</f>
        <v>0</v>
      </c>
      <c r="K179" s="24">
        <f>IF(K162=0,0,(J179+(J179*'Input Property 1'!J$51))*(K162/(K161-J161)))</f>
        <v>0</v>
      </c>
      <c r="L179" s="24">
        <f>IF(L162=0,0,K179+(K179*'Input Property 1'!K$51)*(L162/(L161-K161)))</f>
        <v>0</v>
      </c>
      <c r="M179" s="24">
        <f>IF(M162=0,0,L179+(L179*'Input Property 1'!L$51)*(M162/(M161-L161)))</f>
        <v>0</v>
      </c>
      <c r="N179" s="24">
        <f>IF(N162=0,0,M179+(M179*'Input Property 1'!M$51)*(N162/(N161-M161)))</f>
        <v>0</v>
      </c>
      <c r="O179" s="24">
        <f>IF(O162=0,0,N179+(N179*'Input Property 1'!N$51)*(O162/(O161-N161)))</f>
        <v>0</v>
      </c>
      <c r="P179" s="24">
        <f>IF(P162=0,0,O179+(O179*'Input Property 1'!O$51)*(P162/(P161-O161)))</f>
        <v>0</v>
      </c>
      <c r="Q179" s="24">
        <f>IF(Q162=0,0,P179+(P179*'Input Property 1'!P$51)*(Q162/(Q161-P161)))</f>
        <v>0</v>
      </c>
    </row>
    <row r="180" spans="1:17" x14ac:dyDescent="0.2">
      <c r="A180" s="17" t="str">
        <f>'Input Property 1'!J27</f>
        <v>Pest Control</v>
      </c>
      <c r="B180" s="373">
        <f>'Input Property 1'!$K$27</f>
        <v>0</v>
      </c>
      <c r="C180" s="24">
        <f>IF(C162=0,0,'Data Property 1'!B180*(C162/365))</f>
        <v>0</v>
      </c>
      <c r="D180" s="24">
        <f>IF(D162=0,0,('Data Property 1'!B180+('Data Property 1'!B180*'Input Property 1'!C$51))*(D162/(D161-C161)))</f>
        <v>0</v>
      </c>
      <c r="E180" s="24">
        <f>IF(E162=0,0,(D180+(D180*'Input Property 1'!D$51))*(E162/(E161-D161)))</f>
        <v>0</v>
      </c>
      <c r="F180" s="24">
        <f>IF(F162=0,0,(E180+(E180*'Input Property 1'!E$51))*(F162/(F161-E161)))</f>
        <v>0</v>
      </c>
      <c r="G180" s="24">
        <f>IF(G162=0,0,(F180+(F180*'Input Property 1'!F$51))*(G162/(G161-F161)))</f>
        <v>0</v>
      </c>
      <c r="H180" s="24">
        <f>IF(H162=0,0,(G180+(G180*'Input Property 1'!G$51))*(H162/(H161-G161)))</f>
        <v>0</v>
      </c>
      <c r="I180" s="24">
        <f>IF(I162=0,0,(H180+(H180*'Input Property 1'!H$51))*(I162/(I161-H161)))</f>
        <v>0</v>
      </c>
      <c r="J180" s="24">
        <f>IF(J162=0,0,(I180+(I180*'Input Property 1'!I$51))*(J162/(J161-I161)))</f>
        <v>0</v>
      </c>
      <c r="K180" s="24">
        <f>IF(K162=0,0,(J180+(J180*'Input Property 1'!J$51))*(K162/(K161-J161)))</f>
        <v>0</v>
      </c>
      <c r="L180" s="24">
        <f>IF(L162=0,0,(K180+(K180*'Input Property 1'!K$51))*(L162/(L161-K161)))</f>
        <v>0</v>
      </c>
      <c r="M180" s="24">
        <f>IF(M162=0,0,(L180+(L180*'Input Property 1'!L$51))*(M162/(M161-L161)))</f>
        <v>0</v>
      </c>
      <c r="N180" s="24">
        <f>IF(N162=0,0,(M180+(M180*'Input Property 1'!M$51))*(N162/(N161-M161)))</f>
        <v>0</v>
      </c>
      <c r="O180" s="24">
        <f>IF(O162=0,0,(N180+(N180*'Input Property 1'!N$51))*(O162/(O161-N161)))</f>
        <v>0</v>
      </c>
      <c r="P180" s="24">
        <f>IF(P162=0,0,(O180+(O180*'Input Property 1'!O$51))*(P162/(P161-O161)))</f>
        <v>0</v>
      </c>
      <c r="Q180" s="24">
        <f>IF(Q162=0,0,(P180+(P180*'Input Property 1'!P$51))*(Q162/(Q161-P161)))</f>
        <v>0</v>
      </c>
    </row>
    <row r="181" spans="1:17" x14ac:dyDescent="0.2">
      <c r="A181" s="17" t="str">
        <f>'Input Property 1'!J28</f>
        <v>Bookkeeping</v>
      </c>
      <c r="B181" s="373">
        <f>'Input Property 1'!$K$28</f>
        <v>0</v>
      </c>
      <c r="C181" s="24">
        <f>IF(C162=0,0,'Data Property 1'!B181*(C162/365))</f>
        <v>0</v>
      </c>
      <c r="D181" s="24">
        <f>IF(D162=0,0,('Data Property 1'!B181+('Data Property 1'!B181*'Input Property 1'!C$51))*(D162/(D161-C161)))</f>
        <v>0</v>
      </c>
      <c r="E181" s="24">
        <f>IF(E162=0,0,(D181+(D181*'Input Property 1'!D$51))*(E162/(E161-D161)))</f>
        <v>0</v>
      </c>
      <c r="F181" s="24">
        <f>IF(F162=0,0,(E181+(E181*'Input Property 1'!E$51))*(F162/(F161-E161)))</f>
        <v>0</v>
      </c>
      <c r="G181" s="24">
        <f>IF(G162=0,0,(F181+(F181*'Input Property 1'!F$51))*(G162/(G161-F161)))</f>
        <v>0</v>
      </c>
      <c r="H181" s="24">
        <f>IF(H162=0,0,(G181+(G181*'Input Property 1'!G$51))*(H162/(H161-G161)))</f>
        <v>0</v>
      </c>
      <c r="I181" s="24">
        <f>IF(I162=0,0,(H181+(H181*'Input Property 1'!H$51))*(I162/(I161-H161)))</f>
        <v>0</v>
      </c>
      <c r="J181" s="24">
        <f>IF(J162=0,0,(I181+(I181*'Input Property 1'!I$51))*(J162/(J161-I161)))</f>
        <v>0</v>
      </c>
      <c r="K181" s="24">
        <f>IF(K162=0,0,(J181+(J181*'Input Property 1'!J$51))*(K162/(K161-J161)))</f>
        <v>0</v>
      </c>
      <c r="L181" s="24">
        <f>IF(L162=0,0,(K181+(K181*'Input Property 1'!K$51))*(L162/(L161-K161)))</f>
        <v>0</v>
      </c>
      <c r="M181" s="24">
        <f>IF(M162=0,0,(L181+(L181*'Input Property 1'!L$51))*(M162/(M161-L161)))</f>
        <v>0</v>
      </c>
      <c r="N181" s="24">
        <f>IF(N162=0,0,(M181+(M181*'Input Property 1'!M$51))*(N162/(N161-M161)))</f>
        <v>0</v>
      </c>
      <c r="O181" s="24">
        <f>IF(O162=0,0,(N181+(N181*'Input Property 1'!N$51))*(O162/(O161-N161)))</f>
        <v>0</v>
      </c>
      <c r="P181" s="24">
        <f>IF(P162=0,0,(O181+(O181*'Input Property 1'!O$51))*(P162/(P161-O161)))</f>
        <v>0</v>
      </c>
      <c r="Q181" s="24">
        <f>IF(Q162=0,0,(P181+(P181*'Input Property 1'!P$51))*(Q162/(Q161-P161)))</f>
        <v>0</v>
      </c>
    </row>
    <row r="182" spans="1:17" x14ac:dyDescent="0.2">
      <c r="A182" s="17" t="str">
        <f>'Input Property 1'!J29</f>
        <v>Postage and Stationery</v>
      </c>
      <c r="B182" s="373">
        <f>'Input Property 1'!$K$29</f>
        <v>0</v>
      </c>
      <c r="C182" s="24">
        <f>IF(C162=0,0,'Data Property 1'!B182*(C162/365))</f>
        <v>0</v>
      </c>
      <c r="D182" s="24">
        <f>IF(D162=0,0,('Data Property 1'!B182+('Data Property 1'!B182*'Input Property 1'!C$51))*(D162/(D161-C161)))</f>
        <v>0</v>
      </c>
      <c r="E182" s="24">
        <f>IF(E162=0,0,(D182+(D182*'Input Property 1'!D$51))*(E162/(E161-D161)))</f>
        <v>0</v>
      </c>
      <c r="F182" s="24">
        <f>IF(F162=0,0,(E182+(E182*'Input Property 1'!E$51))*(F162/(F161-E161)))</f>
        <v>0</v>
      </c>
      <c r="G182" s="24">
        <f>IF(G162=0,0,(F182+(F182*'Input Property 1'!F$51))*(G162/(G161-F161)))</f>
        <v>0</v>
      </c>
      <c r="H182" s="24">
        <f>IF(H162=0,0,(G182+(G182*'Input Property 1'!G$51))*(H162/(H161-G161)))</f>
        <v>0</v>
      </c>
      <c r="I182" s="24">
        <f>IF(I162=0,0,(H182+(H182*'Input Property 1'!H$51))*(I162/(I161-H161)))</f>
        <v>0</v>
      </c>
      <c r="J182" s="24">
        <f>IF(J162=0,0,(I182+(I182*'Input Property 1'!I$51))*(J162/(J161-I161)))</f>
        <v>0</v>
      </c>
      <c r="K182" s="24">
        <f>IF(K162=0,0,(J182+(J182*'Input Property 1'!J$51))*(K162/(K161-J161)))</f>
        <v>0</v>
      </c>
      <c r="L182" s="24">
        <f>IF(L162=0,0,(K182+(K182*'Input Property 1'!K$51))*(L162/(L161-K161)))</f>
        <v>0</v>
      </c>
      <c r="M182" s="24">
        <f>IF(M162=0,0,(L182+(L182*'Input Property 1'!L$51))*(M162/(M161-L161)))</f>
        <v>0</v>
      </c>
      <c r="N182" s="24">
        <f>IF(N162=0,0,(M182+(M182*'Input Property 1'!M$51))*(N162/(N161-M161)))</f>
        <v>0</v>
      </c>
      <c r="O182" s="24">
        <f>IF(O162=0,0,(N182+(N182*'Input Property 1'!N$51))*(O162/(O161-N161)))</f>
        <v>0</v>
      </c>
      <c r="P182" s="24">
        <f>IF(P162=0,0,(O182+(O182*'Input Property 1'!O$51))*(P162/(P161-O161)))</f>
        <v>0</v>
      </c>
      <c r="Q182" s="24">
        <f>IF(Q162=0,0,(P182+(P182*'Input Property 1'!P$51))*(Q162/(Q161-P161)))</f>
        <v>0</v>
      </c>
    </row>
    <row r="183" spans="1:17" x14ac:dyDescent="0.2">
      <c r="A183" s="17" t="str">
        <f>'Input Property 1'!J30</f>
        <v>Tax Related Expenses</v>
      </c>
      <c r="B183" s="373">
        <f>'Input Property 1'!$K$30</f>
        <v>574.75</v>
      </c>
      <c r="C183" s="24">
        <f>IF(C162=0,0,'Data Property 1'!B183*(C162/365))</f>
        <v>36.217123287671235</v>
      </c>
      <c r="D183" s="24">
        <f>IF(D162=0,0,('Data Property 1'!B183+('Data Property 1'!B183*'Input Property 1'!C$51))*(D162/(D161-C161)))</f>
        <v>589.11874999999998</v>
      </c>
      <c r="E183" s="24">
        <f>IF(E162=0,0,(D183+(D183*'Input Property 1'!D$51))*(E162/(E161-D161)))</f>
        <v>603.84671874999992</v>
      </c>
      <c r="F183" s="24">
        <f>IF(F162=0,0,(E183+(E183*'Input Property 1'!E$51))*(F162/(F161-E161)))</f>
        <v>618.94288671874995</v>
      </c>
      <c r="G183" s="24">
        <f>IF(G162=0,0,(F183+(F183*'Input Property 1'!F$51))*(G162/(G161-F161)))</f>
        <v>634.41645888671871</v>
      </c>
      <c r="H183" s="24">
        <f>IF(H162=0,0,(G183+(G183*'Input Property 1'!G$51))*(H162/(H161-G161)))</f>
        <v>650.27687035888664</v>
      </c>
      <c r="I183" s="24">
        <f>IF(I162=0,0,(H183+(H183*'Input Property 1'!H$51))*(I162/(I161-H161)))</f>
        <v>666.53379211785875</v>
      </c>
      <c r="J183" s="24">
        <f>IF(J162=0,0,(I183+(I183*'Input Property 1'!I$51))*(J162/(J161-I161)))</f>
        <v>683.19713692080518</v>
      </c>
      <c r="K183" s="24">
        <f>IF(K162=0,0,(J183+(J183*'Input Property 1'!J$51))*(K162/(K161-J161)))</f>
        <v>700.27706534382526</v>
      </c>
      <c r="L183" s="24">
        <f>IF(L162=0,0,(K183+(K183*'Input Property 1'!K$51))*(L162/(L161-K161)))</f>
        <v>717.7839919774209</v>
      </c>
      <c r="M183" s="24">
        <f>IF(M162=0,0,(L183+(L183*'Input Property 1'!L$51))*(M162/(M161-L161)))</f>
        <v>735.72859177685643</v>
      </c>
      <c r="N183" s="24">
        <f>IF(N162=0,0,(M183+(M183*'Input Property 1'!M$51))*(N162/(N161-M161)))</f>
        <v>754.12180657127783</v>
      </c>
      <c r="O183" s="24">
        <f>IF(O162=0,0,(N183+(N183*'Input Property 1'!N$51))*(O162/(O161-N161)))</f>
        <v>772.97485173555981</v>
      </c>
      <c r="P183" s="24">
        <f>IF(P162=0,0,(O183+(O183*'Input Property 1'!O$51))*(P162/(P161-O161)))</f>
        <v>792.29922302894886</v>
      </c>
      <c r="Q183" s="24">
        <f>IF(Q162=0,0,(P183+(P183*'Input Property 1'!P$51))*(Q162/(Q161-P161)))</f>
        <v>812.10670360467259</v>
      </c>
    </row>
    <row r="184" spans="1:17" x14ac:dyDescent="0.2">
      <c r="A184" s="17" t="str">
        <f>'Input Property 1'!J31</f>
        <v>Travel and Car Expenses</v>
      </c>
      <c r="B184" s="373">
        <f>'Input Property 1'!$K$31</f>
        <v>0</v>
      </c>
      <c r="C184" s="24">
        <f>IF(C162=0,0,'Data Property 1'!B184*(C162/365))</f>
        <v>0</v>
      </c>
      <c r="D184" s="24">
        <f>IF(D162=0,0,('Data Property 1'!B184+('Data Property 1'!B184*'Input Property 1'!C$51))*(D162/365))</f>
        <v>0</v>
      </c>
      <c r="E184" s="24">
        <f>IF(E162=0,0,(D184+(D184*'Input Property 1'!D$51))*(E162/365))</f>
        <v>0</v>
      </c>
      <c r="F184" s="24">
        <f>IF(F162=0,0,(E184+(E184*'Input Property 1'!E$51))*(F162/365))</f>
        <v>0</v>
      </c>
      <c r="G184" s="24">
        <f>IF(G162=0,0,(F184+(F184*'Input Property 1'!F$51))*(G162/365))</f>
        <v>0</v>
      </c>
      <c r="H184" s="24">
        <f>IF(H162=0,0,(G184+(G184*'Input Property 1'!G$51))*(H162/365))</f>
        <v>0</v>
      </c>
      <c r="I184" s="24">
        <f>IF(I162=0,0,(H184+(H184*'Input Property 1'!H$51))*(I162/365))</f>
        <v>0</v>
      </c>
      <c r="J184" s="24">
        <f>IF(J162=0,0,(I184+(I184*'Input Property 1'!I$51))*(J162/365))</f>
        <v>0</v>
      </c>
      <c r="K184" s="24">
        <f>IF(K162=0,0,(J184+(J184*'Input Property 1'!J$51))*(K162/365))</f>
        <v>0</v>
      </c>
      <c r="L184" s="24">
        <f>IF(L162=0,0,(K184+(K184*'Input Property 1'!K$51))*(L162/365))</f>
        <v>0</v>
      </c>
      <c r="M184" s="24">
        <f>IF(M162=0,0,(L184+(L184*'Input Property 1'!L$51))*(M162/365))</f>
        <v>0</v>
      </c>
      <c r="N184" s="24">
        <f>IF(N162=0,0,(M184+(M184*'Input Property 1'!M$51))*(N162/365))</f>
        <v>0</v>
      </c>
      <c r="O184" s="24">
        <f>IF(O162=0,0,(N184+(N184*'Input Property 1'!N$51))*(O162/365))</f>
        <v>0</v>
      </c>
      <c r="P184" s="24">
        <f>IF(P162=0,0,(O184+(O184*'Input Property 1'!O$51))*(P162/365))</f>
        <v>0</v>
      </c>
      <c r="Q184" s="24">
        <f>IF(Q162=0,0,(P184+(P184*'Input Property 1'!P$51))*(Q162/365))</f>
        <v>0</v>
      </c>
    </row>
    <row r="185" spans="1:17" x14ac:dyDescent="0.2">
      <c r="A185" s="17" t="str">
        <f>'Input Property 1'!A63</f>
        <v>Once Off Expenses</v>
      </c>
      <c r="B185" s="373"/>
      <c r="C185" s="24">
        <f>'Input Property 1'!B63</f>
        <v>50</v>
      </c>
      <c r="D185" s="24">
        <f>'Input Property 1'!C63</f>
        <v>0</v>
      </c>
      <c r="E185" s="24">
        <f>'Input Property 1'!D63</f>
        <v>0</v>
      </c>
      <c r="F185" s="24">
        <f>'Input Property 1'!E63</f>
        <v>0</v>
      </c>
      <c r="G185" s="24">
        <f>'Input Property 1'!F63</f>
        <v>0</v>
      </c>
      <c r="H185" s="24">
        <f>'Input Property 1'!G63</f>
        <v>0</v>
      </c>
      <c r="I185" s="24">
        <f>'Input Property 1'!H63</f>
        <v>0</v>
      </c>
      <c r="J185" s="24">
        <f>'Input Property 1'!I63</f>
        <v>0</v>
      </c>
      <c r="K185" s="24">
        <f>'Input Property 1'!J63</f>
        <v>0</v>
      </c>
      <c r="L185" s="24">
        <f>'Input Property 1'!K63</f>
        <v>0</v>
      </c>
      <c r="M185" s="24">
        <f>'Input Property 1'!L63</f>
        <v>0</v>
      </c>
      <c r="N185" s="24">
        <f>'Input Property 1'!M63</f>
        <v>0</v>
      </c>
      <c r="O185" s="24">
        <f>'Input Property 1'!N63</f>
        <v>0</v>
      </c>
      <c r="P185" s="24">
        <f>'Input Property 1'!O63</f>
        <v>0</v>
      </c>
      <c r="Q185" s="24">
        <f>'Input Property 1'!P63</f>
        <v>0</v>
      </c>
    </row>
    <row r="186" spans="1:17" x14ac:dyDescent="0.2">
      <c r="A186" s="35" t="s">
        <v>70</v>
      </c>
      <c r="B186" s="24"/>
      <c r="C186" s="24">
        <f t="shared" ref="C186:Q186" si="32">SUM(C169:C185)</f>
        <v>679.06780821917812</v>
      </c>
      <c r="D186" s="24">
        <f t="shared" si="32"/>
        <v>5925.4247500000001</v>
      </c>
      <c r="E186" s="24">
        <f t="shared" si="32"/>
        <v>6085.4633862499995</v>
      </c>
      <c r="F186" s="24">
        <f t="shared" si="32"/>
        <v>6253.54301258125</v>
      </c>
      <c r="G186" s="24">
        <f t="shared" si="32"/>
        <v>6426.3826360294061</v>
      </c>
      <c r="H186" s="24">
        <f t="shared" si="32"/>
        <v>6608.0401515570766</v>
      </c>
      <c r="I186" s="24">
        <f t="shared" si="32"/>
        <v>6786.9001417040954</v>
      </c>
      <c r="J186" s="24">
        <f t="shared" si="32"/>
        <v>6974.8676522686828</v>
      </c>
      <c r="K186" s="24">
        <f t="shared" si="32"/>
        <v>7168.1746758431545</v>
      </c>
      <c r="L186" s="24">
        <f t="shared" si="32"/>
        <v>7371.4746729021072</v>
      </c>
      <c r="M186" s="24">
        <f t="shared" si="32"/>
        <v>7571.4355407357934</v>
      </c>
      <c r="N186" s="24">
        <f t="shared" si="32"/>
        <v>7781.7153706085119</v>
      </c>
      <c r="O186" s="24">
        <f t="shared" si="32"/>
        <v>7997.9869841754498</v>
      </c>
      <c r="P186" s="24">
        <f t="shared" si="32"/>
        <v>8225.5869486062875</v>
      </c>
      <c r="Q186" s="24">
        <f t="shared" si="32"/>
        <v>8449.2128989935409</v>
      </c>
    </row>
    <row r="187" spans="1:17" x14ac:dyDescent="0.2">
      <c r="A187" s="28" t="s">
        <v>49</v>
      </c>
      <c r="B187" s="24"/>
      <c r="C187" s="24">
        <f t="shared" ref="C187:Q187" si="33">C186+C167+C168</f>
        <v>1528.4823835616439</v>
      </c>
      <c r="D187" s="24">
        <f t="shared" si="33"/>
        <v>19442.19581849315</v>
      </c>
      <c r="E187" s="24">
        <f t="shared" si="33"/>
        <v>19565.303386250001</v>
      </c>
      <c r="F187" s="24">
        <f t="shared" si="33"/>
        <v>19733.383012581249</v>
      </c>
      <c r="G187" s="24">
        <f t="shared" si="33"/>
        <v>19906.222636029408</v>
      </c>
      <c r="H187" s="24">
        <f t="shared" si="33"/>
        <v>20124.811220050229</v>
      </c>
      <c r="I187" s="24">
        <f t="shared" si="33"/>
        <v>20266.740141704096</v>
      </c>
      <c r="J187" s="24">
        <f t="shared" si="33"/>
        <v>20454.707652268684</v>
      </c>
      <c r="K187" s="24">
        <f t="shared" si="33"/>
        <v>20648.014675843155</v>
      </c>
      <c r="L187" s="24">
        <f t="shared" si="33"/>
        <v>20888.245741395258</v>
      </c>
      <c r="M187" s="24">
        <f t="shared" si="33"/>
        <v>21051.275540735794</v>
      </c>
      <c r="N187" s="24">
        <f t="shared" si="33"/>
        <v>21261.555370608512</v>
      </c>
      <c r="O187" s="24">
        <f t="shared" si="33"/>
        <v>21477.826984175452</v>
      </c>
      <c r="P187" s="24">
        <f t="shared" si="33"/>
        <v>21742.358017099439</v>
      </c>
      <c r="Q187" s="24">
        <f t="shared" si="33"/>
        <v>21929.052898993541</v>
      </c>
    </row>
    <row r="188" spans="1:17" x14ac:dyDescent="0.2">
      <c r="A188" s="9" t="s">
        <v>13</v>
      </c>
      <c r="B188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</row>
    <row r="189" spans="1:17" x14ac:dyDescent="0.2">
      <c r="A189" s="25" t="s">
        <v>37</v>
      </c>
      <c r="B189" s="20"/>
      <c r="C189" s="24">
        <f t="shared" ref="C189:Q189" si="34">C165-C187</f>
        <v>-1104.1966692759297</v>
      </c>
      <c r="D189" s="24">
        <f t="shared" si="34"/>
        <v>-2267.110104207437</v>
      </c>
      <c r="E189" s="24">
        <f t="shared" si="34"/>
        <v>-1839.5902791071494</v>
      </c>
      <c r="F189" s="24">
        <f t="shared" si="34"/>
        <v>-1387.2699466883969</v>
      </c>
      <c r="G189" s="24">
        <f t="shared" si="34"/>
        <v>-917.99561283030562</v>
      </c>
      <c r="H189" s="24">
        <f t="shared" si="34"/>
        <v>-416.0053252015241</v>
      </c>
      <c r="I189" s="24">
        <f t="shared" si="34"/>
        <v>73.923351222361816</v>
      </c>
      <c r="J189" s="24">
        <f t="shared" si="34"/>
        <v>597.87906291019681</v>
      </c>
      <c r="K189" s="24">
        <f t="shared" si="34"/>
        <v>1141.4125743669865</v>
      </c>
      <c r="L189" s="24">
        <f t="shared" si="34"/>
        <v>1728.0623377972115</v>
      </c>
      <c r="M189" s="24">
        <f t="shared" si="34"/>
        <v>2290.1036653705596</v>
      </c>
      <c r="N189" s="24">
        <f t="shared" si="34"/>
        <v>2896.7721077115639</v>
      </c>
      <c r="O189" s="24">
        <f t="shared" si="34"/>
        <v>3526.041955885823</v>
      </c>
      <c r="P189" s="24">
        <f t="shared" si="34"/>
        <v>4210.3756929949268</v>
      </c>
      <c r="Q189" s="24">
        <f t="shared" si="34"/>
        <v>4855.7166063235964</v>
      </c>
    </row>
    <row r="190" spans="1:17" x14ac:dyDescent="0.2">
      <c r="A190" s="25" t="s">
        <v>172</v>
      </c>
      <c r="B190" s="20"/>
      <c r="C190" s="24">
        <f>(C189/(C162/7))</f>
        <v>-336.05985586658733</v>
      </c>
      <c r="D190" s="24">
        <f>D189/'Input Property 1'!$B$64</f>
        <v>-43.389667066171043</v>
      </c>
      <c r="E190" s="24">
        <f>E189/'Input Property 1'!$B$64</f>
        <v>-35.207469456596158</v>
      </c>
      <c r="F190" s="24">
        <f>F189/'Input Property 1'!$B$64</f>
        <v>-26.550620989251616</v>
      </c>
      <c r="G190" s="24">
        <f>G189/'Input Property 1'!$B$64</f>
        <v>-17.569294025460394</v>
      </c>
      <c r="H190" s="24">
        <f>H189/'Input Property 1'!$B$64</f>
        <v>-7.9618244057707965</v>
      </c>
      <c r="I190" s="24">
        <f>I189/'Input Property 1'!$B$64</f>
        <v>1.4148009803322836</v>
      </c>
      <c r="J190" s="24">
        <f>J189/'Input Property 1'!$B$64</f>
        <v>11.442661491104245</v>
      </c>
      <c r="K190" s="24">
        <f>K189/'Input Property 1'!$B$64</f>
        <v>21.845216734296393</v>
      </c>
      <c r="L190" s="24">
        <f>L189/'Input Property 1'!$B$64</f>
        <v>33.072963402817443</v>
      </c>
      <c r="M190" s="24">
        <f>M189/'Input Property 1'!$B$64</f>
        <v>43.829735222403052</v>
      </c>
      <c r="N190" s="24">
        <f>N189/'Input Property 1'!$B$64</f>
        <v>55.440614501656725</v>
      </c>
      <c r="O190" s="24">
        <f>O189/'Input Property 1'!$B$64</f>
        <v>67.484056571977476</v>
      </c>
      <c r="P190" s="24">
        <f>P189/'Input Property 1'!$B$64</f>
        <v>80.581352975979456</v>
      </c>
      <c r="Q190" s="24">
        <f>Q189/'Input Property 1'!$B$64</f>
        <v>92.932375240642997</v>
      </c>
    </row>
    <row r="191" spans="1:17" x14ac:dyDescent="0.2">
      <c r="A191" s="29" t="s">
        <v>12</v>
      </c>
      <c r="B191" s="20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</row>
    <row r="192" spans="1:17" x14ac:dyDescent="0.2">
      <c r="A192" s="17" t="s">
        <v>53</v>
      </c>
      <c r="B192" s="10"/>
      <c r="C192" s="24">
        <f t="shared" ref="C192:Q192" si="35">C167+C168</f>
        <v>849.41457534246581</v>
      </c>
      <c r="D192" s="24">
        <f t="shared" si="35"/>
        <v>13516.771068493152</v>
      </c>
      <c r="E192" s="24">
        <f t="shared" si="35"/>
        <v>13479.84</v>
      </c>
      <c r="F192" s="24">
        <f t="shared" si="35"/>
        <v>13479.84</v>
      </c>
      <c r="G192" s="24">
        <f t="shared" si="35"/>
        <v>13479.84</v>
      </c>
      <c r="H192" s="24">
        <f t="shared" si="35"/>
        <v>13516.771068493152</v>
      </c>
      <c r="I192" s="24">
        <f t="shared" si="35"/>
        <v>13479.84</v>
      </c>
      <c r="J192" s="24">
        <f t="shared" si="35"/>
        <v>13479.84</v>
      </c>
      <c r="K192" s="24">
        <f t="shared" si="35"/>
        <v>13479.84</v>
      </c>
      <c r="L192" s="24">
        <f t="shared" si="35"/>
        <v>13516.771068493152</v>
      </c>
      <c r="M192" s="24">
        <f t="shared" si="35"/>
        <v>13479.84</v>
      </c>
      <c r="N192" s="24">
        <f t="shared" si="35"/>
        <v>13479.84</v>
      </c>
      <c r="O192" s="24">
        <f t="shared" si="35"/>
        <v>13479.84</v>
      </c>
      <c r="P192" s="24">
        <f t="shared" si="35"/>
        <v>13516.771068493152</v>
      </c>
      <c r="Q192" s="24">
        <f t="shared" si="35"/>
        <v>13479.84</v>
      </c>
    </row>
    <row r="193" spans="1:17" x14ac:dyDescent="0.2">
      <c r="A193" s="17" t="s">
        <v>52</v>
      </c>
      <c r="B193" s="15"/>
      <c r="C193" s="24">
        <f t="shared" ref="C193:Q193" si="36">C186</f>
        <v>679.06780821917812</v>
      </c>
      <c r="D193" s="24">
        <f t="shared" si="36"/>
        <v>5925.4247500000001</v>
      </c>
      <c r="E193" s="24">
        <f t="shared" si="36"/>
        <v>6085.4633862499995</v>
      </c>
      <c r="F193" s="24">
        <f t="shared" si="36"/>
        <v>6253.54301258125</v>
      </c>
      <c r="G193" s="24">
        <f t="shared" si="36"/>
        <v>6426.3826360294061</v>
      </c>
      <c r="H193" s="24">
        <f t="shared" si="36"/>
        <v>6608.0401515570766</v>
      </c>
      <c r="I193" s="24">
        <f t="shared" si="36"/>
        <v>6786.9001417040954</v>
      </c>
      <c r="J193" s="24">
        <f t="shared" si="36"/>
        <v>6974.8676522686828</v>
      </c>
      <c r="K193" s="24">
        <f t="shared" si="36"/>
        <v>7168.1746758431545</v>
      </c>
      <c r="L193" s="24">
        <f t="shared" si="36"/>
        <v>7371.4746729021072</v>
      </c>
      <c r="M193" s="24">
        <f t="shared" si="36"/>
        <v>7571.4355407357934</v>
      </c>
      <c r="N193" s="24">
        <f t="shared" si="36"/>
        <v>7781.7153706085119</v>
      </c>
      <c r="O193" s="24">
        <f t="shared" si="36"/>
        <v>7997.9869841754498</v>
      </c>
      <c r="P193" s="24">
        <f t="shared" si="36"/>
        <v>8225.5869486062875</v>
      </c>
      <c r="Q193" s="24">
        <f t="shared" si="36"/>
        <v>8449.2128989935409</v>
      </c>
    </row>
    <row r="194" spans="1:17" x14ac:dyDescent="0.2">
      <c r="A194" s="36" t="s">
        <v>47</v>
      </c>
      <c r="B194" s="24"/>
      <c r="C194" s="24">
        <f t="shared" ref="C194:Q194" si="37">SUM(C192:C193)</f>
        <v>1528.4823835616439</v>
      </c>
      <c r="D194" s="24">
        <f t="shared" si="37"/>
        <v>19442.19581849315</v>
      </c>
      <c r="E194" s="24">
        <f t="shared" si="37"/>
        <v>19565.303386250001</v>
      </c>
      <c r="F194" s="24">
        <f t="shared" si="37"/>
        <v>19733.383012581249</v>
      </c>
      <c r="G194" s="24">
        <f t="shared" si="37"/>
        <v>19906.222636029408</v>
      </c>
      <c r="H194" s="24">
        <f t="shared" si="37"/>
        <v>20124.811220050229</v>
      </c>
      <c r="I194" s="24">
        <f t="shared" si="37"/>
        <v>20266.740141704096</v>
      </c>
      <c r="J194" s="24">
        <f t="shared" si="37"/>
        <v>20454.707652268684</v>
      </c>
      <c r="K194" s="24">
        <f t="shared" si="37"/>
        <v>20648.014675843155</v>
      </c>
      <c r="L194" s="24">
        <f t="shared" si="37"/>
        <v>20888.245741395258</v>
      </c>
      <c r="M194" s="24">
        <f t="shared" si="37"/>
        <v>21051.275540735794</v>
      </c>
      <c r="N194" s="24">
        <f t="shared" si="37"/>
        <v>21261.555370608512</v>
      </c>
      <c r="O194" s="24">
        <f t="shared" si="37"/>
        <v>21477.826984175452</v>
      </c>
      <c r="P194" s="24">
        <f t="shared" si="37"/>
        <v>21742.358017099439</v>
      </c>
      <c r="Q194" s="24">
        <f t="shared" si="37"/>
        <v>21929.052898993541</v>
      </c>
    </row>
    <row r="195" spans="1:17" x14ac:dyDescent="0.2">
      <c r="A195" s="9" t="s">
        <v>14</v>
      </c>
      <c r="B195"/>
      <c r="C195" s="24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1:17" x14ac:dyDescent="0.2">
      <c r="A196" s="23" t="s">
        <v>45</v>
      </c>
      <c r="B196" s="24">
        <f>'Input Property 1'!$K$13</f>
        <v>1810</v>
      </c>
      <c r="C196" s="24">
        <f>'Data Property 1'!B196/5</f>
        <v>362</v>
      </c>
      <c r="D196" s="24">
        <f>C196</f>
        <v>362</v>
      </c>
      <c r="E196" s="24">
        <f>D196</f>
        <v>362</v>
      </c>
      <c r="F196" s="24">
        <f>E196</f>
        <v>362</v>
      </c>
      <c r="G196" s="24">
        <f>F196</f>
        <v>362</v>
      </c>
      <c r="H196"/>
      <c r="I196"/>
      <c r="J196"/>
      <c r="K196"/>
      <c r="L196"/>
      <c r="M196"/>
      <c r="N196"/>
      <c r="O196"/>
      <c r="P196"/>
      <c r="Q196"/>
    </row>
    <row r="197" spans="1:17" x14ac:dyDescent="0.2">
      <c r="A197" s="22" t="s">
        <v>15</v>
      </c>
      <c r="B197" s="10">
        <f>'Tax Table'!$C$3</f>
        <v>2.5000000000000001E-2</v>
      </c>
      <c r="C197" s="24">
        <f>IF(C162=0,0,'Input Property 1'!B61)</f>
        <v>3000</v>
      </c>
      <c r="D197" s="24">
        <f>IF(D162=0,0,'Input Property 1'!C61)</f>
        <v>3000</v>
      </c>
      <c r="E197" s="24">
        <f>IF(E162=0,0,'Input Property 1'!D61)</f>
        <v>3000</v>
      </c>
      <c r="F197" s="24">
        <f>IF(F162=0,0,'Input Property 1'!E61)</f>
        <v>3000</v>
      </c>
      <c r="G197" s="24">
        <f>IF(G162=0,0,'Input Property 1'!F61)</f>
        <v>3000</v>
      </c>
      <c r="H197" s="24">
        <f>IF(H162=0,0,'Input Property 1'!G61)</f>
        <v>3000</v>
      </c>
      <c r="I197" s="24">
        <f>IF(I162=0,0,'Input Property 1'!H61)</f>
        <v>3000</v>
      </c>
      <c r="J197" s="24">
        <f>IF(J162=0,0,'Input Property 1'!I61)</f>
        <v>3000</v>
      </c>
      <c r="K197" s="24">
        <f>IF(K162=0,0,'Input Property 1'!J61)</f>
        <v>3000</v>
      </c>
      <c r="L197" s="24">
        <f>IF(L162=0,0,'Input Property 1'!K61)</f>
        <v>3000</v>
      </c>
      <c r="M197" s="24">
        <f>IF(M162=0,0,'Input Property 1'!L61)</f>
        <v>3000</v>
      </c>
      <c r="N197" s="24">
        <f>IF(N162=0,0,'Input Property 1'!M61)</f>
        <v>3000</v>
      </c>
      <c r="O197" s="24">
        <f>IF(O162=0,0,'Input Property 1'!N61)</f>
        <v>3000</v>
      </c>
      <c r="P197" s="24">
        <f>IF(P162=0,0,'Input Property 1'!O61)</f>
        <v>3000</v>
      </c>
      <c r="Q197" s="24">
        <f>IF(Q162=0,0,'Input Property 1'!P61)</f>
        <v>3000</v>
      </c>
    </row>
    <row r="198" spans="1:17" x14ac:dyDescent="0.2">
      <c r="A198" s="22" t="s">
        <v>114</v>
      </c>
      <c r="B198" s="27">
        <f>'Input Property 1'!$B$35</f>
        <v>5000</v>
      </c>
      <c r="C198" s="24">
        <f>IF(C162=0,0,IF('Input Property 1'!B62&gt;0,'Input Property 1'!B62,IF('Input Property 1'!$B$62=0,'Data Property 1'!B199*0.3,'Input Property 1'!B62)))</f>
        <v>1500</v>
      </c>
      <c r="D198" s="24">
        <f>IF(D162=0,0,IF('Input Property 1'!C62&gt;0,'Input Property 1'!C62,IF('Input Property 1'!$B$62=0,C199*0.3,'Input Property 1'!C62)))</f>
        <v>1050</v>
      </c>
      <c r="E198" s="24">
        <f>IF(E162=0,0,IF('Input Property 1'!D62&gt;0,'Input Property 1'!D62,IF('Input Property 1'!$B$62=0,D199*0.3,'Input Property 1'!D62)))</f>
        <v>735</v>
      </c>
      <c r="F198" s="24">
        <f>IF(F162=0,0,IF('Input Property 1'!E62&gt;0,'Input Property 1'!E62,IF('Input Property 1'!$B$62=0,E199*0.3,'Input Property 1'!E62)))</f>
        <v>514.5</v>
      </c>
      <c r="G198" s="24">
        <f>IF(G162=0,0,IF('Input Property 1'!F62&gt;0,'Input Property 1'!F62,IF('Input Property 1'!$B$62=0,F199*0.3,'Input Property 1'!F62)))</f>
        <v>360.15</v>
      </c>
      <c r="H198" s="24">
        <f>IF(H162=0,0,IF('Input Property 1'!G62&gt;0,'Input Property 1'!G62,IF('Input Property 1'!$B$62=0,G199*0.3,'Input Property 1'!G62)))</f>
        <v>252.10499999999999</v>
      </c>
      <c r="I198" s="24">
        <f>IF(I162=0,0,IF('Input Property 1'!H62&gt;0,'Input Property 1'!H62,IF('Input Property 1'!$B$62=0,H199*0.3,'Input Property 1'!H62)))</f>
        <v>176.4735</v>
      </c>
      <c r="J198" s="24">
        <f>IF(J162=0,0,IF('Input Property 1'!I62&gt;0,'Input Property 1'!I62,IF('Input Property 1'!$B$62=0,I199*0.3,'Input Property 1'!I62)))</f>
        <v>123.53144999999999</v>
      </c>
      <c r="K198" s="24">
        <f>IF(K162=0,0,IF('Input Property 1'!J62&gt;0,'Input Property 1'!J62,IF('Input Property 1'!$B$62=0,J199*0.3,'Input Property 1'!J62)))</f>
        <v>86.472014999999999</v>
      </c>
      <c r="L198" s="24">
        <f>IF(L162=0,0,IF('Input Property 1'!K62&gt;0,'Input Property 1'!K62,IF('Input Property 1'!$B$62=0,K199*0.3,'Input Property 1'!K62)))</f>
        <v>60.530410499999995</v>
      </c>
      <c r="M198" s="24">
        <f>IF(M162=0,0,IF('Input Property 1'!L62&gt;0,'Input Property 1'!L62,IF('Input Property 1'!$B$62=0,L199*0.3,'Input Property 1'!L62)))</f>
        <v>42.371287350000003</v>
      </c>
      <c r="N198" s="24">
        <f>IF(N162=0,0,IF('Input Property 1'!M62&gt;0,'Input Property 1'!M62,IF('Input Property 1'!$B$62=0,M199*0.3,'Input Property 1'!M62)))</f>
        <v>29.659901144999999</v>
      </c>
      <c r="O198" s="24">
        <f>IF(O162=0,0,IF('Input Property 1'!N62&gt;0,'Input Property 1'!N62,IF('Input Property 1'!$B$62=0,N199*0.3,'Input Property 1'!N62)))</f>
        <v>20.7619308015</v>
      </c>
      <c r="P198" s="24">
        <f>IF(P162=0,0,IF('Input Property 1'!O62&gt;0,'Input Property 1'!O62,IF('Input Property 1'!$B$62=0,O199*0.3,'Input Property 1'!O62)))</f>
        <v>14.533351561049999</v>
      </c>
      <c r="Q198" s="24">
        <f>IF(Q162=0,0,IF('Input Property 1'!P62&gt;0,'Input Property 1'!P62,IF('Input Property 1'!$B$62=0,P199*0.3,'Input Property 1'!P62)))</f>
        <v>10.173346092735001</v>
      </c>
    </row>
    <row r="199" spans="1:17" x14ac:dyDescent="0.2">
      <c r="A199" s="22"/>
      <c r="B199" s="27">
        <f>B198</f>
        <v>5000</v>
      </c>
      <c r="C199" s="24">
        <f>'Data Property 1'!B199-C198</f>
        <v>3500</v>
      </c>
      <c r="D199" s="24">
        <f t="shared" ref="D199:Q199" si="38">C199-D198</f>
        <v>2450</v>
      </c>
      <c r="E199" s="24">
        <f t="shared" si="38"/>
        <v>1715</v>
      </c>
      <c r="F199" s="24">
        <f t="shared" si="38"/>
        <v>1200.5</v>
      </c>
      <c r="G199" s="24">
        <f t="shared" si="38"/>
        <v>840.35</v>
      </c>
      <c r="H199" s="24">
        <f t="shared" si="38"/>
        <v>588.245</v>
      </c>
      <c r="I199" s="24">
        <f t="shared" si="38"/>
        <v>411.7715</v>
      </c>
      <c r="J199" s="24">
        <f t="shared" si="38"/>
        <v>288.24005</v>
      </c>
      <c r="K199" s="24">
        <f t="shared" si="38"/>
        <v>201.768035</v>
      </c>
      <c r="L199" s="24">
        <f t="shared" si="38"/>
        <v>141.23762450000001</v>
      </c>
      <c r="M199" s="24">
        <f t="shared" si="38"/>
        <v>98.866337150000007</v>
      </c>
      <c r="N199" s="24">
        <f t="shared" si="38"/>
        <v>69.206436005</v>
      </c>
      <c r="O199" s="24">
        <f t="shared" si="38"/>
        <v>48.4445052035</v>
      </c>
      <c r="P199" s="24">
        <f t="shared" si="38"/>
        <v>33.911153642450003</v>
      </c>
      <c r="Q199" s="24">
        <f t="shared" si="38"/>
        <v>23.737807549715001</v>
      </c>
    </row>
    <row r="200" spans="1:17" x14ac:dyDescent="0.2">
      <c r="A200" s="28" t="s">
        <v>48</v>
      </c>
      <c r="B200" s="27"/>
      <c r="C200" s="24">
        <f t="shared" ref="C200:Q200" si="39">SUM(C196:C198)</f>
        <v>4862</v>
      </c>
      <c r="D200" s="24">
        <f t="shared" si="39"/>
        <v>4412</v>
      </c>
      <c r="E200" s="24">
        <f t="shared" si="39"/>
        <v>4097</v>
      </c>
      <c r="F200" s="24">
        <f t="shared" si="39"/>
        <v>3876.5</v>
      </c>
      <c r="G200" s="24">
        <f t="shared" si="39"/>
        <v>3722.15</v>
      </c>
      <c r="H200" s="24">
        <f t="shared" si="39"/>
        <v>3252.105</v>
      </c>
      <c r="I200" s="24">
        <f t="shared" si="39"/>
        <v>3176.4735000000001</v>
      </c>
      <c r="J200" s="24">
        <f t="shared" si="39"/>
        <v>3123.5314499999999</v>
      </c>
      <c r="K200" s="24">
        <f t="shared" si="39"/>
        <v>3086.4720149999998</v>
      </c>
      <c r="L200" s="24">
        <f t="shared" si="39"/>
        <v>3060.5304105</v>
      </c>
      <c r="M200" s="24">
        <f t="shared" si="39"/>
        <v>3042.3712873499999</v>
      </c>
      <c r="N200" s="24">
        <f t="shared" si="39"/>
        <v>3029.6599011449998</v>
      </c>
      <c r="O200" s="24">
        <f t="shared" si="39"/>
        <v>3020.7619308015001</v>
      </c>
      <c r="P200" s="24">
        <f t="shared" si="39"/>
        <v>3014.53335156105</v>
      </c>
      <c r="Q200" s="24">
        <f t="shared" si="39"/>
        <v>3010.1733460927348</v>
      </c>
    </row>
    <row r="201" spans="1:17" x14ac:dyDescent="0.2">
      <c r="A201" s="37" t="s">
        <v>40</v>
      </c>
      <c r="B201" s="20"/>
      <c r="C201" s="24">
        <f t="shared" ref="C201:Q201" si="40">C194+C200</f>
        <v>6390.4823835616444</v>
      </c>
      <c r="D201" s="24">
        <f t="shared" si="40"/>
        <v>23854.19581849315</v>
      </c>
      <c r="E201" s="24">
        <f t="shared" si="40"/>
        <v>23662.303386250001</v>
      </c>
      <c r="F201" s="24">
        <f t="shared" si="40"/>
        <v>23609.883012581249</v>
      </c>
      <c r="G201" s="24">
        <f t="shared" si="40"/>
        <v>23628.372636029409</v>
      </c>
      <c r="H201" s="24">
        <f t="shared" si="40"/>
        <v>23376.916220050229</v>
      </c>
      <c r="I201" s="24">
        <f t="shared" si="40"/>
        <v>23443.213641704097</v>
      </c>
      <c r="J201" s="24">
        <f t="shared" si="40"/>
        <v>23578.239102268682</v>
      </c>
      <c r="K201" s="24">
        <f t="shared" si="40"/>
        <v>23734.486690843154</v>
      </c>
      <c r="L201" s="24">
        <f t="shared" si="40"/>
        <v>23948.776151895257</v>
      </c>
      <c r="M201" s="24">
        <f t="shared" si="40"/>
        <v>24093.646828085795</v>
      </c>
      <c r="N201" s="24">
        <f t="shared" si="40"/>
        <v>24291.215271753514</v>
      </c>
      <c r="O201" s="24">
        <f t="shared" si="40"/>
        <v>24498.58891497695</v>
      </c>
      <c r="P201" s="24">
        <f t="shared" si="40"/>
        <v>24756.89136866049</v>
      </c>
      <c r="Q201" s="24">
        <f t="shared" si="40"/>
        <v>24939.226245086276</v>
      </c>
    </row>
    <row r="202" spans="1:17" x14ac:dyDescent="0.2">
      <c r="A202" s="37" t="s">
        <v>115</v>
      </c>
      <c r="B202" s="20"/>
      <c r="C202" s="24">
        <f t="shared" ref="C202:Q202" si="41">C165-C201</f>
        <v>-5966.1966692759297</v>
      </c>
      <c r="D202" s="24">
        <f t="shared" si="41"/>
        <v>-6679.110104207437</v>
      </c>
      <c r="E202" s="24">
        <f t="shared" si="41"/>
        <v>-5936.5902791071494</v>
      </c>
      <c r="F202" s="24">
        <f t="shared" si="41"/>
        <v>-5263.7699466883969</v>
      </c>
      <c r="G202" s="24">
        <f t="shared" si="41"/>
        <v>-4640.1456128303071</v>
      </c>
      <c r="H202" s="24">
        <f t="shared" si="41"/>
        <v>-3668.1103252015237</v>
      </c>
      <c r="I202" s="24">
        <f t="shared" si="41"/>
        <v>-3102.5501487776382</v>
      </c>
      <c r="J202" s="24">
        <f t="shared" si="41"/>
        <v>-2525.6523870898018</v>
      </c>
      <c r="K202" s="24">
        <f t="shared" si="41"/>
        <v>-1945.0594406330129</v>
      </c>
      <c r="L202" s="24">
        <f t="shared" si="41"/>
        <v>-1332.468072702788</v>
      </c>
      <c r="M202" s="24">
        <f t="shared" si="41"/>
        <v>-752.26762197944117</v>
      </c>
      <c r="N202" s="24">
        <f t="shared" si="41"/>
        <v>-132.88779343343776</v>
      </c>
      <c r="O202" s="24">
        <f t="shared" si="41"/>
        <v>505.28002508432473</v>
      </c>
      <c r="P202" s="24">
        <f t="shared" si="41"/>
        <v>1195.8423414338758</v>
      </c>
      <c r="Q202" s="24">
        <f t="shared" si="41"/>
        <v>1845.5432602308611</v>
      </c>
    </row>
    <row r="203" spans="1:17" x14ac:dyDescent="0.2">
      <c r="A203" s="21" t="s">
        <v>42</v>
      </c>
      <c r="B203" s="20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</row>
    <row r="204" spans="1:17" x14ac:dyDescent="0.2">
      <c r="A204" s="37" t="s">
        <v>78</v>
      </c>
      <c r="B204" s="20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</row>
    <row r="205" spans="1:17" x14ac:dyDescent="0.2">
      <c r="A205" s="26" t="s">
        <v>79</v>
      </c>
      <c r="B205" s="15">
        <f>'Input Property 1'!B26</f>
        <v>0.5</v>
      </c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</row>
    <row r="206" spans="1:17" x14ac:dyDescent="0.2">
      <c r="A206" s="38" t="s">
        <v>74</v>
      </c>
      <c r="B206"/>
      <c r="C206" s="24">
        <f>'Input Property 1'!B46</f>
        <v>123000</v>
      </c>
      <c r="D206" s="24">
        <f>'Input Property 1'!C46</f>
        <v>125460</v>
      </c>
      <c r="E206" s="24">
        <f>'Input Property 1'!D46</f>
        <v>127969.2</v>
      </c>
      <c r="F206" s="24">
        <f>'Input Property 1'!E46</f>
        <v>130528.584</v>
      </c>
      <c r="G206" s="24">
        <f>'Input Property 1'!F46</f>
        <v>133139.15568</v>
      </c>
      <c r="H206" s="24">
        <f>'Input Property 1'!G46</f>
        <v>135801.93879360001</v>
      </c>
      <c r="I206" s="24">
        <f>'Input Property 1'!H46</f>
        <v>138517.97756947202</v>
      </c>
      <c r="J206" s="24">
        <f>'Input Property 1'!I46</f>
        <v>141288.33712086146</v>
      </c>
      <c r="K206" s="24">
        <f>'Input Property 1'!J46</f>
        <v>144114.10386327869</v>
      </c>
      <c r="L206" s="24">
        <f>'Input Property 1'!K46</f>
        <v>146996.38594054428</v>
      </c>
      <c r="M206" s="24">
        <f>'Input Property 1'!L46</f>
        <v>149936.31365935516</v>
      </c>
      <c r="N206" s="24">
        <f>'Input Property 1'!M46</f>
        <v>152935.03993254228</v>
      </c>
      <c r="O206" s="24">
        <f>'Input Property 1'!N46</f>
        <v>155993.74073119313</v>
      </c>
      <c r="P206" s="24">
        <f>'Input Property 1'!O46</f>
        <v>159113.61554581701</v>
      </c>
      <c r="Q206" s="24">
        <f>'Input Property 1'!P46</f>
        <v>162295.88785673334</v>
      </c>
    </row>
    <row r="207" spans="1:17" x14ac:dyDescent="0.2">
      <c r="A207" s="38" t="s">
        <v>76</v>
      </c>
      <c r="B207"/>
      <c r="C207" s="24">
        <f>'Tax Table'!G12</f>
        <v>33456.114999999998</v>
      </c>
      <c r="D207" s="63">
        <f>'Tax Table'!G23</f>
        <v>34366.315000000002</v>
      </c>
      <c r="E207" s="63">
        <f>'Tax Table'!G33</f>
        <v>35294.718999999997</v>
      </c>
      <c r="F207" s="63">
        <f>'Tax Table'!G43</f>
        <v>36241.691080000004</v>
      </c>
      <c r="G207" s="24">
        <f>'Tax Table'!G53</f>
        <v>37207.602601599996</v>
      </c>
      <c r="H207" s="24">
        <f>'Tax Table'!G63</f>
        <v>38192.832353632009</v>
      </c>
      <c r="I207" s="24">
        <f>'Tax Table'!G73</f>
        <v>39197.766700704648</v>
      </c>
      <c r="J207" s="24">
        <f>'Tax Table'!G83</f>
        <v>40222.799734718734</v>
      </c>
      <c r="K207" s="24">
        <f>'Tax Table'!G93</f>
        <v>41268.33342941312</v>
      </c>
      <c r="L207" s="24">
        <f>'Tax Table'!G103</f>
        <v>42334.777798001378</v>
      </c>
      <c r="M207" s="24">
        <f>'Tax Table'!G113</f>
        <v>43422.551053961412</v>
      </c>
      <c r="N207" s="24">
        <f>'Tax Table'!G123</f>
        <v>44532.079775040642</v>
      </c>
      <c r="O207" s="24">
        <f>'Tax Table'!G133</f>
        <v>45663.799070541456</v>
      </c>
      <c r="P207" s="24">
        <f>'Tax Table'!G143</f>
        <v>46818.152751952293</v>
      </c>
      <c r="Q207" s="24">
        <f>'Tax Table'!G153</f>
        <v>47995.593506991339</v>
      </c>
    </row>
    <row r="208" spans="1:17" x14ac:dyDescent="0.2">
      <c r="A208" s="26" t="s">
        <v>41</v>
      </c>
      <c r="B208" s="20"/>
      <c r="C208" s="24">
        <f>C202*'Data Property 1'!$B$205</f>
        <v>-2983.0983346379649</v>
      </c>
      <c r="D208" s="24">
        <f>D202*'Data Property 1'!$B$205</f>
        <v>-3339.5550521037185</v>
      </c>
      <c r="E208" s="24">
        <f>E202*'Data Property 1'!$B$205</f>
        <v>-2968.2951395535747</v>
      </c>
      <c r="F208" s="24">
        <f>F202*'Data Property 1'!$B$205</f>
        <v>-2631.8849733441984</v>
      </c>
      <c r="G208" s="24">
        <f>G202*'Data Property 1'!$B$205</f>
        <v>-2320.0728064151535</v>
      </c>
      <c r="H208" s="24">
        <f>H202*'Data Property 1'!$B$205</f>
        <v>-1834.0551626007618</v>
      </c>
      <c r="I208" s="24">
        <f>I202*'Data Property 1'!$B$205</f>
        <v>-1551.2750743888191</v>
      </c>
      <c r="J208" s="24">
        <f>J202*'Data Property 1'!$B$205</f>
        <v>-1262.8261935449009</v>
      </c>
      <c r="K208" s="24">
        <f>K202*'Data Property 1'!$B$205</f>
        <v>-972.52972031650643</v>
      </c>
      <c r="L208" s="24">
        <f>L202*'Data Property 1'!$B$205</f>
        <v>-666.23403635139402</v>
      </c>
      <c r="M208" s="24">
        <f>M202*'Data Property 1'!$B$205</f>
        <v>-376.13381098972059</v>
      </c>
      <c r="N208" s="24">
        <f>N202*'Data Property 1'!$B$205</f>
        <v>-66.443896716718882</v>
      </c>
      <c r="O208" s="24">
        <f>O202*'Data Property 1'!$B$205</f>
        <v>252.64001254216237</v>
      </c>
      <c r="P208" s="24">
        <f>P202*'Data Property 1'!$B$205</f>
        <v>597.92117071693792</v>
      </c>
      <c r="Q208" s="24">
        <f>Q202*'Data Property 1'!$B$205</f>
        <v>922.77163011543053</v>
      </c>
    </row>
    <row r="209" spans="1:17" x14ac:dyDescent="0.2">
      <c r="A209" s="38" t="s">
        <v>75</v>
      </c>
      <c r="B209"/>
      <c r="C209" s="24">
        <f>IF(C161&lt;'Input Property 1'!$B$33,C206+C208,C206+C208+C236)</f>
        <v>120016.90166536203</v>
      </c>
      <c r="D209" s="24">
        <f>IF(C161&lt;'Input Property 1'!$B$33,IF(D161&lt;'Input Property 1'!$B$33,D206+D208,D206+D208+D236),D206)</f>
        <v>122120.44494789628</v>
      </c>
      <c r="E209" s="24">
        <f>IF(D161&lt;'Input Property 1'!$B$33,IF(E161&lt;'Input Property 1'!$B$33,E206+E208,E206+E208+E236),E206)</f>
        <v>125000.90486044642</v>
      </c>
      <c r="F209" s="24">
        <f>IF(E161&lt;'Input Property 1'!$B$33,IF(F161&lt;'Input Property 1'!$B$33,F206+F208,F206+F208+F236),F206)</f>
        <v>127896.6990266558</v>
      </c>
      <c r="G209" s="24">
        <f>IF(F161&lt;'Input Property 1'!$B$33,IF(G161&lt;'Input Property 1'!$B$33,G206+G208,G206+G208+G236),G206)</f>
        <v>130819.08287358485</v>
      </c>
      <c r="H209" s="24">
        <f>IF(G161&lt;'Input Property 1'!$B$33,IF(H161&lt;'Input Property 1'!$B$33,H206+H208,H206+H208+H236),H206)</f>
        <v>133967.88363099925</v>
      </c>
      <c r="I209" s="24">
        <f>IF(H161&lt;'Input Property 1'!$B$33,IF(I161&lt;'Input Property 1'!$B$33,I206+I208,I206+I208+I236),I206)</f>
        <v>136966.70249508318</v>
      </c>
      <c r="J209" s="24">
        <f>IF(I161&lt;'Input Property 1'!$B$33,IF(J161&lt;'Input Property 1'!$B$33,J206+J208,J206+J208+J236),J206)</f>
        <v>140025.51092731656</v>
      </c>
      <c r="K209" s="24">
        <f>IF(J161&lt;'Input Property 1'!$B$33,IF(K161&lt;'Input Property 1'!$B$33,K206+K208,K206+K208+K236),K206)</f>
        <v>143141.5741429622</v>
      </c>
      <c r="L209" s="24">
        <f>IF(K161&lt;'Input Property 1'!$B$33,IF(L161&lt;'Input Property 1'!$B$33,L206+L208,L206+L208+L236),L206)</f>
        <v>146330.15190419287</v>
      </c>
      <c r="M209" s="24">
        <f>IF(L161&lt;'Input Property 1'!$B$33,IF(M161&lt;'Input Property 1'!$B$33,M206+M208,M206+M208+M236),M206)</f>
        <v>149560.17984836543</v>
      </c>
      <c r="N209" s="24">
        <f>IF(M161&lt;'Input Property 1'!$B$33,IF(N161&lt;'Input Property 1'!$B$33,N206+N208,N206+N208+N236),N206)</f>
        <v>152868.59603582555</v>
      </c>
      <c r="O209" s="24">
        <f>IF(N161&lt;'Input Property 1'!$B$33,IF(O161&lt;'Input Property 1'!$B$33,O206+O208,O206+O208+O236),O206)</f>
        <v>156246.3807437353</v>
      </c>
      <c r="P209" s="24">
        <f>IF(O161&lt;'Input Property 1'!$B$33,IF(P161&lt;'Input Property 1'!$B$33,P206+P208,P206+P208+P236),P206)</f>
        <v>159711.53671653394</v>
      </c>
      <c r="Q209" s="24">
        <f>IF(P161&lt;'Input Property 1'!$B$33,IF(Q161&lt;'Input Property 1'!$B$33,Q206+Q208,Q206+Q208+Q236),Q206)</f>
        <v>163218.65948684877</v>
      </c>
    </row>
    <row r="210" spans="1:17" x14ac:dyDescent="0.2">
      <c r="A210" s="38" t="s">
        <v>77</v>
      </c>
      <c r="B210"/>
      <c r="C210" s="24">
        <f>'Tax Table'!H12</f>
        <v>32352.368616183954</v>
      </c>
      <c r="D210" s="63">
        <f>'Tax Table'!H23</f>
        <v>33130.679630721621</v>
      </c>
      <c r="E210" s="24">
        <f>'Tax Table'!H33</f>
        <v>34196.449798365175</v>
      </c>
      <c r="F210" s="24">
        <f>'Tax Table'!H43</f>
        <v>35267.893639862647</v>
      </c>
      <c r="G210" s="24">
        <f>'Tax Table'!H53</f>
        <v>36349.175663226393</v>
      </c>
      <c r="H210" s="24">
        <f>'Tax Table'!H63</f>
        <v>37514.23194346972</v>
      </c>
      <c r="I210" s="24">
        <f>'Tax Table'!H73</f>
        <v>38623.79492318078</v>
      </c>
      <c r="J210" s="24">
        <f>'Tax Table'!H83</f>
        <v>39755.554043107128</v>
      </c>
      <c r="K210" s="24">
        <f>'Tax Table'!H93</f>
        <v>40908.497432896009</v>
      </c>
      <c r="L210" s="24">
        <f>'Tax Table'!H103</f>
        <v>42088.271204551362</v>
      </c>
      <c r="M210" s="24">
        <f>'Tax Table'!H113</f>
        <v>43283.381543895208</v>
      </c>
      <c r="N210" s="24">
        <f>'Tax Table'!H123</f>
        <v>44507.495533255453</v>
      </c>
      <c r="O210" s="24">
        <f>'Tax Table'!H133</f>
        <v>45757.275875182058</v>
      </c>
      <c r="P210" s="24">
        <f>'Tax Table'!H143</f>
        <v>47039.383585117554</v>
      </c>
      <c r="Q210" s="24">
        <f>'Tax Table'!H153</f>
        <v>48337.019010134041</v>
      </c>
    </row>
    <row r="211" spans="1:17" x14ac:dyDescent="0.2">
      <c r="A211" s="26" t="s">
        <v>71</v>
      </c>
      <c r="B211" s="20"/>
      <c r="C211" s="24">
        <f t="shared" ref="C211:Q211" si="42">C207-C210</f>
        <v>1103.7463838160438</v>
      </c>
      <c r="D211" s="24">
        <f t="shared" si="42"/>
        <v>1235.6353692783814</v>
      </c>
      <c r="E211" s="24">
        <f t="shared" si="42"/>
        <v>1098.2692016348228</v>
      </c>
      <c r="F211" s="24">
        <f t="shared" si="42"/>
        <v>973.79744013735763</v>
      </c>
      <c r="G211" s="24">
        <f t="shared" si="42"/>
        <v>858.42693837360275</v>
      </c>
      <c r="H211" s="24">
        <f t="shared" si="42"/>
        <v>678.60041016228934</v>
      </c>
      <c r="I211" s="24">
        <f t="shared" si="42"/>
        <v>573.97177752386779</v>
      </c>
      <c r="J211" s="24">
        <f t="shared" si="42"/>
        <v>467.24569161160616</v>
      </c>
      <c r="K211" s="24">
        <f t="shared" si="42"/>
        <v>359.8359965171112</v>
      </c>
      <c r="L211" s="24">
        <f t="shared" si="42"/>
        <v>246.50659345001623</v>
      </c>
      <c r="M211" s="24">
        <f t="shared" si="42"/>
        <v>139.16951006620366</v>
      </c>
      <c r="N211" s="24">
        <f t="shared" si="42"/>
        <v>24.584241785189079</v>
      </c>
      <c r="O211" s="24">
        <f t="shared" si="42"/>
        <v>-93.476804640602495</v>
      </c>
      <c r="P211" s="24">
        <f t="shared" si="42"/>
        <v>-221.23083316526026</v>
      </c>
      <c r="Q211" s="24">
        <f t="shared" si="42"/>
        <v>-341.42550314270193</v>
      </c>
    </row>
    <row r="212" spans="1:17" x14ac:dyDescent="0.2">
      <c r="A212" s="26" t="s">
        <v>166</v>
      </c>
      <c r="B212" s="20"/>
      <c r="C212" s="24">
        <f>C211/(C162/7)</f>
        <v>335.92281246575249</v>
      </c>
      <c r="D212" s="24">
        <f>D211/'Input Property 1'!$B$64</f>
        <v>23.648523813940315</v>
      </c>
      <c r="E212" s="24">
        <f>E211/'Input Property 1'!$B$64</f>
        <v>21.019506251384168</v>
      </c>
      <c r="F212" s="24">
        <f>F211/'Input Property 1'!$B$64</f>
        <v>18.637271581576222</v>
      </c>
      <c r="G212" s="24">
        <f>G211/'Input Property 1'!$B$64</f>
        <v>16.429223700930198</v>
      </c>
      <c r="H212" s="24">
        <f>H211/'Input Property 1'!$B$64</f>
        <v>12.987567658608409</v>
      </c>
      <c r="I212" s="24">
        <f>I211/'Input Property 1'!$B$64</f>
        <v>10.985105789930484</v>
      </c>
      <c r="J212" s="24">
        <f>J211/'Input Property 1'!$B$64</f>
        <v>8.9425012748632753</v>
      </c>
      <c r="K212" s="24">
        <f>K211/'Input Property 1'!$B$64</f>
        <v>6.8868133304710275</v>
      </c>
      <c r="L212" s="24">
        <f>L211/'Input Property 1'!$B$64</f>
        <v>4.7178295397132288</v>
      </c>
      <c r="M212" s="24">
        <f>M211/'Input Property 1'!$B$64</f>
        <v>2.6635312931330843</v>
      </c>
      <c r="N212" s="24">
        <f>N211/'Input Property 1'!$B$64</f>
        <v>0.47051180450122637</v>
      </c>
      <c r="O212" s="24">
        <f>O211/'Input Property 1'!$B$64</f>
        <v>-1.7890297538871291</v>
      </c>
      <c r="P212" s="24">
        <f>P211/'Input Property 1'!$B$64</f>
        <v>-4.2340829313925408</v>
      </c>
      <c r="Q212" s="24">
        <f>Q211/'Input Property 1'!$B$64</f>
        <v>-6.5344593902909462</v>
      </c>
    </row>
    <row r="213" spans="1:17" x14ac:dyDescent="0.2">
      <c r="A213" s="37" t="s">
        <v>80</v>
      </c>
      <c r="B213" s="20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</row>
    <row r="214" spans="1:17" x14ac:dyDescent="0.2">
      <c r="A214" s="26" t="s">
        <v>81</v>
      </c>
      <c r="B214" s="15">
        <f>1-B205</f>
        <v>0.5</v>
      </c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</row>
    <row r="215" spans="1:17" x14ac:dyDescent="0.2">
      <c r="A215" s="38" t="s">
        <v>74</v>
      </c>
      <c r="B215"/>
      <c r="C215" s="24">
        <f>'Input Property 1'!B48</f>
        <v>96000</v>
      </c>
      <c r="D215" s="24">
        <f>'Input Property 1'!C48</f>
        <v>97920</v>
      </c>
      <c r="E215" s="24">
        <f>'Input Property 1'!D48</f>
        <v>99878.400000000009</v>
      </c>
      <c r="F215" s="24">
        <f>'Input Property 1'!E48</f>
        <v>101875.96800000001</v>
      </c>
      <c r="G215" s="24">
        <f>'Input Property 1'!F48</f>
        <v>103913.48736000001</v>
      </c>
      <c r="H215" s="24">
        <f>'Input Property 1'!G48</f>
        <v>105991.75710720001</v>
      </c>
      <c r="I215" s="24">
        <f>'Input Property 1'!H48</f>
        <v>108111.59224934402</v>
      </c>
      <c r="J215" s="24">
        <f>'Input Property 1'!I48</f>
        <v>110273.82409433089</v>
      </c>
      <c r="K215" s="24">
        <f>'Input Property 1'!J48</f>
        <v>112479.30057621752</v>
      </c>
      <c r="L215" s="24">
        <f>'Input Property 1'!K48</f>
        <v>114728.88658774187</v>
      </c>
      <c r="M215" s="24">
        <f>'Input Property 1'!L48</f>
        <v>117023.46431949671</v>
      </c>
      <c r="N215" s="24">
        <f>'Input Property 1'!M48</f>
        <v>119363.93360588665</v>
      </c>
      <c r="O215" s="24">
        <f>'Input Property 1'!N48</f>
        <v>121751.21227800439</v>
      </c>
      <c r="P215" s="24">
        <f>'Input Property 1'!O48</f>
        <v>124186.23652356448</v>
      </c>
      <c r="Q215" s="24">
        <f>'Input Property 1'!P48</f>
        <v>126669.96125403578</v>
      </c>
    </row>
    <row r="216" spans="1:17" x14ac:dyDescent="0.2">
      <c r="A216" s="38" t="s">
        <v>76</v>
      </c>
      <c r="B216"/>
      <c r="C216" s="24">
        <f>'Tax Table'!I12</f>
        <v>23466.115000000002</v>
      </c>
      <c r="D216" s="63">
        <f>'Tax Table'!I23</f>
        <v>24176.514999999999</v>
      </c>
      <c r="E216" s="24">
        <f>'Tax Table'!I33</f>
        <v>24901.123000000003</v>
      </c>
      <c r="F216" s="24">
        <f>'Tax Table'!I43</f>
        <v>25640.223160000001</v>
      </c>
      <c r="G216" s="24">
        <f>'Tax Table'!I53</f>
        <v>26394.105323200005</v>
      </c>
      <c r="H216" s="24">
        <f>'Tax Table'!I63</f>
        <v>27163.065129664006</v>
      </c>
      <c r="I216" s="24">
        <f>'Tax Table'!I73</f>
        <v>27947.404132257288</v>
      </c>
      <c r="J216" s="24">
        <f>'Tax Table'!I83</f>
        <v>28747.42991490243</v>
      </c>
      <c r="K216" s="24">
        <f>'Tax Table'!I93</f>
        <v>29563.456213200479</v>
      </c>
      <c r="L216" s="24">
        <f>'Tax Table'!I103</f>
        <v>30395.803037464495</v>
      </c>
      <c r="M216" s="24">
        <f>'Tax Table'!I113</f>
        <v>31244.796798213782</v>
      </c>
      <c r="N216" s="24">
        <f>'Tax Table'!I123</f>
        <v>32110.770434178059</v>
      </c>
      <c r="O216" s="24">
        <f>'Tax Table'!I133</f>
        <v>32994.063542861622</v>
      </c>
      <c r="P216" s="24">
        <f>'Tax Table'!I143</f>
        <v>33895.022513718861</v>
      </c>
      <c r="Q216" s="24">
        <f>'Tax Table'!I153</f>
        <v>34814.00066399324</v>
      </c>
    </row>
    <row r="217" spans="1:17" x14ac:dyDescent="0.2">
      <c r="A217" s="26" t="s">
        <v>41</v>
      </c>
      <c r="B217" s="20"/>
      <c r="C217" s="24">
        <f>C202*'Data Property 1'!$B$214</f>
        <v>-2983.0983346379649</v>
      </c>
      <c r="D217" s="24">
        <f>D202*'Data Property 1'!$B$214</f>
        <v>-3339.5550521037185</v>
      </c>
      <c r="E217" s="24">
        <f>E202*'Data Property 1'!$B$214</f>
        <v>-2968.2951395535747</v>
      </c>
      <c r="F217" s="24">
        <f>F202*'Data Property 1'!$B$214</f>
        <v>-2631.8849733441984</v>
      </c>
      <c r="G217" s="24">
        <f>G202*'Data Property 1'!$B$214</f>
        <v>-2320.0728064151535</v>
      </c>
      <c r="H217" s="24">
        <f>H202*'Data Property 1'!$B$214</f>
        <v>-1834.0551626007618</v>
      </c>
      <c r="I217" s="24">
        <f>I202*'Data Property 1'!$B$214</f>
        <v>-1551.2750743888191</v>
      </c>
      <c r="J217" s="24">
        <f>J202*'Data Property 1'!$B$214</f>
        <v>-1262.8261935449009</v>
      </c>
      <c r="K217" s="24">
        <f>K202*'Data Property 1'!$B$214</f>
        <v>-972.52972031650643</v>
      </c>
      <c r="L217" s="24">
        <f>L202*'Data Property 1'!$B$214</f>
        <v>-666.23403635139402</v>
      </c>
      <c r="M217" s="24">
        <f>M202*'Data Property 1'!$B$214</f>
        <v>-376.13381098972059</v>
      </c>
      <c r="N217" s="24">
        <f>N202*'Data Property 1'!$B$214</f>
        <v>-66.443896716718882</v>
      </c>
      <c r="O217" s="24">
        <f>O202*'Data Property 1'!$B$214</f>
        <v>252.64001254216237</v>
      </c>
      <c r="P217" s="24">
        <f>P202*'Data Property 1'!$B$214</f>
        <v>597.92117071693792</v>
      </c>
      <c r="Q217" s="24">
        <f>Q202*'Data Property 1'!$B$214</f>
        <v>922.77163011543053</v>
      </c>
    </row>
    <row r="218" spans="1:17" x14ac:dyDescent="0.2">
      <c r="A218" s="38" t="s">
        <v>75</v>
      </c>
      <c r="B218"/>
      <c r="C218" s="24">
        <f>IF(C161&lt;'Input Property 1'!$B$33,C215+C217,IF(C161&gt;'Input Property 1'!$B$33,0,C215+C217+C237))</f>
        <v>93016.901665362035</v>
      </c>
      <c r="D218" s="24">
        <f>IF(C161&lt;'Input Property 1'!$B$33,IF(D161&lt;'Input Property 1'!$B$33,D215+D217,D215+D217+D237),D215)</f>
        <v>94580.444947896278</v>
      </c>
      <c r="E218" s="24">
        <f>IF(D161&lt;'Input Property 1'!$B$33,IF(E161&lt;'Input Property 1'!$B$33,E215+E217,E215+E217+E237),E215)</f>
        <v>96910.10486044643</v>
      </c>
      <c r="F218" s="24">
        <f>IF(E161&lt;'Input Property 1'!$B$33,IF(F161&lt;'Input Property 1'!$B$33,F215+F217,F215+F217+F237),F215)</f>
        <v>99244.083026655804</v>
      </c>
      <c r="G218" s="24">
        <f>IF(F161&lt;'Input Property 1'!$B$33,IF(G161&lt;'Input Property 1'!$B$33,G215+G217,G215+G217+G237),G215)</f>
        <v>101593.41455358487</v>
      </c>
      <c r="H218" s="24">
        <f>IF(G161&lt;'Input Property 1'!$B$33,IF(H161&lt;'Input Property 1'!$B$33,H215+H217,H215+H217+H237),H215)</f>
        <v>104157.70194459925</v>
      </c>
      <c r="I218" s="24">
        <f>IF(H161&lt;'Input Property 1'!$B$33,IF(I161&lt;'Input Property 1'!$B$33,I215+I217,I215+I217+I237),I215)</f>
        <v>106560.3171749552</v>
      </c>
      <c r="J218" s="24">
        <f>IF(I161&lt;'Input Property 1'!$B$33,IF(J161&lt;'Input Property 1'!$B$33,J215+J217,J215+J217+J237),J215)</f>
        <v>109010.99790078599</v>
      </c>
      <c r="K218" s="24">
        <f>IF(J161&lt;'Input Property 1'!$B$33,IF(K161&lt;'Input Property 1'!$B$33,K215+K217,K215+K217+K237),K215)</f>
        <v>111506.77085590101</v>
      </c>
      <c r="L218" s="24">
        <f>IF(K161&lt;'Input Property 1'!$B$33,IF(L161&lt;'Input Property 1'!$B$33,L215+L217,L215+L217+L237),L215)</f>
        <v>114062.65255139048</v>
      </c>
      <c r="M218" s="24">
        <f>IF(L161&lt;'Input Property 1'!$B$33,IF(M161&lt;'Input Property 1'!$B$33,M215+M217,M215+M217+M237),M215)</f>
        <v>116647.33050850699</v>
      </c>
      <c r="N218" s="24">
        <f>IF(M161&lt;'Input Property 1'!$B$33,IF(N161&lt;'Input Property 1'!$B$33,N215+N217,N215+N217+N237),N215)</f>
        <v>119297.48970916992</v>
      </c>
      <c r="O218" s="24">
        <f>IF(N161&lt;'Input Property 1'!$B$33,IF(O161&lt;'Input Property 1'!$B$33,O215+O217,O215+O217+O237),O215)</f>
        <v>122003.85229054655</v>
      </c>
      <c r="P218" s="24">
        <f>IF(O161&lt;'Input Property 1'!$B$33,IF(P161&lt;'Input Property 1'!$B$33,P215+P217,P215+P217+P237),P215)</f>
        <v>124784.15769428143</v>
      </c>
      <c r="Q218" s="24">
        <f>IF(P161&lt;'Input Property 1'!$B$33,IF(Q161&lt;'Input Property 1'!$B$33,Q215+Q217,Q215+Q217+Q237),Q215)</f>
        <v>127592.73288415121</v>
      </c>
    </row>
    <row r="219" spans="1:17" x14ac:dyDescent="0.2">
      <c r="A219" s="38" t="s">
        <v>77</v>
      </c>
      <c r="B219"/>
      <c r="C219" s="24">
        <f>'Tax Table'!J12</f>
        <v>22362.368616183954</v>
      </c>
      <c r="D219" s="63">
        <f>'Tax Table'!J23</f>
        <v>22940.879630721625</v>
      </c>
      <c r="E219" s="24">
        <f>'Tax Table'!J33</f>
        <v>23802.85379836518</v>
      </c>
      <c r="F219" s="24">
        <f>'Tax Table'!J43</f>
        <v>24666.425719862647</v>
      </c>
      <c r="G219" s="24">
        <f>'Tax Table'!J53</f>
        <v>25535.678384826402</v>
      </c>
      <c r="H219" s="24">
        <f>'Tax Table'!J63</f>
        <v>26484.464719501724</v>
      </c>
      <c r="I219" s="24">
        <f>'Tax Table'!J73</f>
        <v>27373.432354733424</v>
      </c>
      <c r="J219" s="24">
        <f>'Tax Table'!J83</f>
        <v>28280.184223290817</v>
      </c>
      <c r="K219" s="24">
        <f>'Tax Table'!J93</f>
        <v>29203.620216683372</v>
      </c>
      <c r="L219" s="24">
        <f>'Tax Table'!J103</f>
        <v>30149.296444014479</v>
      </c>
      <c r="M219" s="24">
        <f>'Tax Table'!J113</f>
        <v>31105.627288147585</v>
      </c>
      <c r="N219" s="24">
        <f>'Tax Table'!J123</f>
        <v>32086.186192392874</v>
      </c>
      <c r="O219" s="24">
        <f>'Tax Table'!J133</f>
        <v>33087.540347502225</v>
      </c>
      <c r="P219" s="24">
        <f>'Tax Table'!J143</f>
        <v>34116.253346884128</v>
      </c>
      <c r="Q219" s="24">
        <f>'Tax Table'!J153</f>
        <v>35155.426167135942</v>
      </c>
    </row>
    <row r="220" spans="1:17" x14ac:dyDescent="0.2">
      <c r="A220" s="26" t="s">
        <v>71</v>
      </c>
      <c r="B220" s="20"/>
      <c r="C220" s="24">
        <f t="shared" ref="C220:Q220" si="43">C216-C219</f>
        <v>1103.7463838160475</v>
      </c>
      <c r="D220" s="24">
        <f t="shared" si="43"/>
        <v>1235.6353692783741</v>
      </c>
      <c r="E220" s="24">
        <f t="shared" si="43"/>
        <v>1098.2692016348228</v>
      </c>
      <c r="F220" s="24">
        <f t="shared" si="43"/>
        <v>973.79744013735399</v>
      </c>
      <c r="G220" s="24">
        <f t="shared" si="43"/>
        <v>858.42693837360275</v>
      </c>
      <c r="H220" s="24">
        <f t="shared" si="43"/>
        <v>678.60041016228206</v>
      </c>
      <c r="I220" s="24">
        <f t="shared" si="43"/>
        <v>573.97177752386415</v>
      </c>
      <c r="J220" s="24">
        <f t="shared" si="43"/>
        <v>467.24569161161344</v>
      </c>
      <c r="K220" s="24">
        <f t="shared" si="43"/>
        <v>359.83599651710756</v>
      </c>
      <c r="L220" s="24">
        <f t="shared" si="43"/>
        <v>246.50659345001623</v>
      </c>
      <c r="M220" s="24">
        <f t="shared" si="43"/>
        <v>139.16951006619638</v>
      </c>
      <c r="N220" s="24">
        <f t="shared" si="43"/>
        <v>24.584241785185441</v>
      </c>
      <c r="O220" s="24">
        <f t="shared" si="43"/>
        <v>-93.476804640602495</v>
      </c>
      <c r="P220" s="24">
        <f t="shared" si="43"/>
        <v>-221.23083316526754</v>
      </c>
      <c r="Q220" s="24">
        <f t="shared" si="43"/>
        <v>-341.42550314270193</v>
      </c>
    </row>
    <row r="221" spans="1:17" x14ac:dyDescent="0.2">
      <c r="A221" s="26" t="s">
        <v>166</v>
      </c>
      <c r="B221" s="20"/>
      <c r="C221" s="24">
        <f>C220/(C162/7)</f>
        <v>335.92281246575357</v>
      </c>
      <c r="D221" s="24">
        <f>D220/'Input Property 1'!$B$64</f>
        <v>23.648523813940173</v>
      </c>
      <c r="E221" s="24">
        <f>E220/'Input Property 1'!$B$64</f>
        <v>21.019506251384168</v>
      </c>
      <c r="F221" s="24">
        <f>F220/'Input Property 1'!$B$64</f>
        <v>18.637271581576154</v>
      </c>
      <c r="G221" s="24">
        <f>G220/'Input Property 1'!$B$64</f>
        <v>16.429223700930198</v>
      </c>
      <c r="H221" s="24">
        <f>H220/'Input Property 1'!$B$64</f>
        <v>12.987567658608269</v>
      </c>
      <c r="I221" s="24">
        <f>I220/'Input Property 1'!$B$64</f>
        <v>10.985105789930415</v>
      </c>
      <c r="J221" s="24">
        <f>J220/'Input Property 1'!$B$64</f>
        <v>8.9425012748634156</v>
      </c>
      <c r="K221" s="24">
        <f>K220/'Input Property 1'!$B$64</f>
        <v>6.8868133304709582</v>
      </c>
      <c r="L221" s="24">
        <f>L220/'Input Property 1'!$B$64</f>
        <v>4.7178295397132288</v>
      </c>
      <c r="M221" s="24">
        <f>M220/'Input Property 1'!$B$64</f>
        <v>2.6635312931329449</v>
      </c>
      <c r="N221" s="24">
        <f>N220/'Input Property 1'!$B$64</f>
        <v>0.47051180450115676</v>
      </c>
      <c r="O221" s="24">
        <f>O220/'Input Property 1'!$B$64</f>
        <v>-1.7890297538871291</v>
      </c>
      <c r="P221" s="24">
        <f>P220/'Input Property 1'!$B$64</f>
        <v>-4.2340829313926802</v>
      </c>
      <c r="Q221" s="24">
        <f>Q220/'Input Property 1'!$B$64</f>
        <v>-6.5344593902909462</v>
      </c>
    </row>
    <row r="222" spans="1:17" x14ac:dyDescent="0.2">
      <c r="A222" s="37"/>
      <c r="B222" s="20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</row>
    <row r="223" spans="1:17" x14ac:dyDescent="0.2">
      <c r="A223" s="9" t="s">
        <v>16</v>
      </c>
      <c r="B223" s="15"/>
      <c r="C223" s="39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</row>
    <row r="224" spans="1:17" x14ac:dyDescent="0.2">
      <c r="A224" s="19" t="s">
        <v>37</v>
      </c>
      <c r="B224" s="24"/>
      <c r="C224" s="24">
        <f>C189+C211+C220</f>
        <v>1103.2960983561616</v>
      </c>
      <c r="D224" s="24">
        <f>IF('Input Property 1'!$B$33&gt;C161,IF(D161&gt;'Input Property 1'!$B$33,D189+D211+D220+D234,D189+D211+D220),0)</f>
        <v>204.16063434931857</v>
      </c>
      <c r="E224" s="24">
        <f>IF('Input Property 1'!$B$33&gt;D161,IF(E161&gt;'Input Property 1'!$B$33,E189+E211+E220+E234,E189+E211+E220),0)</f>
        <v>356.94812416249624</v>
      </c>
      <c r="F224" s="24">
        <f>IF('Input Property 1'!$B$33&gt;E161,IF(F161&gt;'Input Property 1'!$B$33,F189+F211+F220+F234,F189+F211+F220),0)</f>
        <v>560.32493358631473</v>
      </c>
      <c r="G224" s="24">
        <f>IF('Input Property 1'!$B$33&gt;F161,IF(G161&gt;'Input Property 1'!$B$33,G189+G211+G220+G234,G189+G211+G220),0)</f>
        <v>798.85826391689989</v>
      </c>
      <c r="H224" s="24">
        <f>IF('Input Property 1'!$B$33&gt;G161,IF(H161&gt;'Input Property 1'!$B$33,H189+H211+H220+H234,H189+H211+H220),0)</f>
        <v>941.19549512304729</v>
      </c>
      <c r="I224" s="24">
        <f>IF('Input Property 1'!$B$33&gt;H161,IF(I161&gt;'Input Property 1'!$B$33,I189+I211+I220+I234,I189+I211+I220),0)</f>
        <v>1221.8669062700938</v>
      </c>
      <c r="J224" s="24">
        <f>IF('Input Property 1'!$B$33&gt;I161,IF(J161&gt;'Input Property 1'!$B$33,J189+J211+J220+J234,J189+J211+J220),0)</f>
        <v>1532.3704461334164</v>
      </c>
      <c r="K224" s="24">
        <f>IF('Input Property 1'!$B$33&gt;J161,IF(K161&gt;'Input Property 1'!$B$33,K189+K211+K220+K234,K189+K211+K220),0)</f>
        <v>1861.0845674012053</v>
      </c>
      <c r="L224" s="24">
        <f>IF('Input Property 1'!$B$33&gt;K161,IF(L161&gt;'Input Property 1'!$B$33,L189+L211+L220+L234,L189+L211+L220),0)</f>
        <v>2221.075524697244</v>
      </c>
      <c r="M224" s="24">
        <f>IF('Input Property 1'!$B$33&gt;L161,IF(M161&gt;'Input Property 1'!$B$33,M189+M211+M220+M234,M189+M211+M220),0)</f>
        <v>2568.4426855029596</v>
      </c>
      <c r="N224" s="24">
        <f>IF('Input Property 1'!$B$33&gt;M161,IF(N161&gt;'Input Property 1'!$B$33,N189+N211+N220+N234,N189+N211+N220),0)</f>
        <v>2945.9405912819384</v>
      </c>
      <c r="O224" s="24">
        <f>IF('Input Property 1'!$B$33&gt;N161,IF(O161&gt;'Input Property 1'!$B$33,O189+O211+O220+O234,O189+O211+O220),0)</f>
        <v>3339.088346604618</v>
      </c>
      <c r="P224" s="24">
        <f>IF('Input Property 1'!$B$33&gt;O161,IF(P161&gt;'Input Property 1'!$B$33,P189+P211+P220+P234,P189+P211+P220),0)</f>
        <v>3767.914026664399</v>
      </c>
      <c r="Q224" s="24">
        <f>IF('Input Property 1'!$B$33&gt;P161,IF(Q161&gt;'Input Property 1'!$B$33,Q189+Q211+Q220+Q234,Q189+Q211+Q220),0)</f>
        <v>4172.8656000381925</v>
      </c>
    </row>
    <row r="225" spans="1:17" x14ac:dyDescent="0.2">
      <c r="A225" s="19" t="s">
        <v>172</v>
      </c>
      <c r="B225" s="20"/>
      <c r="C225" s="63">
        <f>C224/(C162/7)</f>
        <v>335.78576906491872</v>
      </c>
      <c r="D225" s="63">
        <f>D224/'Input Property 1'!$B$64</f>
        <v>3.9073805617094464</v>
      </c>
      <c r="E225" s="63">
        <f>E224/'Input Property 1'!$B$64</f>
        <v>6.8315430461721771</v>
      </c>
      <c r="F225" s="63">
        <f>F224/'Input Property 1'!$B$64</f>
        <v>10.72392217390076</v>
      </c>
      <c r="G225" s="63">
        <f>G224/'Input Property 1'!$B$64</f>
        <v>15.289153376399998</v>
      </c>
      <c r="H225" s="63">
        <f>H224/'Input Property 1'!$B$64</f>
        <v>18.013310911445881</v>
      </c>
      <c r="I225" s="63">
        <f>I224/'Input Property 1'!$B$64</f>
        <v>23.385012560193182</v>
      </c>
      <c r="J225" s="63">
        <f>J224/'Input Property 1'!$B$64</f>
        <v>29.327664040830935</v>
      </c>
      <c r="K225" s="63">
        <f>K224/'Input Property 1'!$B$64</f>
        <v>35.618843395238379</v>
      </c>
      <c r="L225" s="63">
        <f>L224/'Input Property 1'!$B$64</f>
        <v>42.508622482243901</v>
      </c>
      <c r="M225" s="63">
        <f>M224/'Input Property 1'!$B$64</f>
        <v>49.156797808669083</v>
      </c>
      <c r="N225" s="63">
        <f>N224/'Input Property 1'!$B$64</f>
        <v>56.381638110659111</v>
      </c>
      <c r="O225" s="63">
        <f>O224/'Input Property 1'!$B$64</f>
        <v>63.905997064203213</v>
      </c>
      <c r="P225" s="63">
        <f>P224/'Input Property 1'!$B$64</f>
        <v>72.113187113194243</v>
      </c>
      <c r="Q225" s="63">
        <f>Q224/'Input Property 1'!$B$64</f>
        <v>79.863456460061101</v>
      </c>
    </row>
    <row r="226" spans="1:17" x14ac:dyDescent="0.2">
      <c r="A226" s="9" t="s">
        <v>72</v>
      </c>
      <c r="B226"/>
      <c r="C226" s="1"/>
      <c r="D226" s="4">
        <v>2</v>
      </c>
      <c r="E226" s="2"/>
      <c r="F226"/>
      <c r="G226"/>
      <c r="H226"/>
      <c r="I226"/>
      <c r="J226"/>
      <c r="K226"/>
      <c r="L226"/>
      <c r="M226"/>
      <c r="N226"/>
      <c r="O226"/>
      <c r="P226"/>
      <c r="Q226"/>
    </row>
    <row r="227" spans="1:17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</row>
    <row r="228" spans="1:17" x14ac:dyDescent="0.2">
      <c r="A228" t="s">
        <v>226</v>
      </c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</row>
    <row r="229" spans="1:17" x14ac:dyDescent="0.2">
      <c r="A229" t="s">
        <v>227</v>
      </c>
      <c r="B229"/>
      <c r="C229" s="194">
        <f>'Data Property 1'!C102-'Data Property 1'!C103</f>
        <v>40516.438356164377</v>
      </c>
      <c r="D229" s="194">
        <f>'Data Property 1'!D102-'Data Property 1'!D103</f>
        <v>72677.753424657509</v>
      </c>
      <c r="E229" s="194">
        <f>'Data Property 1'!E102-'Data Property 1'!E103</f>
        <v>107411.97369863011</v>
      </c>
      <c r="F229" s="194">
        <f>'Data Property 1'!F102-'Data Property 1'!F103</f>
        <v>144924.93159452052</v>
      </c>
      <c r="G229" s="194">
        <f>'Data Property 1'!G102-'Data Property 1'!G103</f>
        <v>185438.92612208216</v>
      </c>
      <c r="H229" s="194">
        <f>'Data Property 1'!H102-'Data Property 1'!H103</f>
        <v>229194.04021184868</v>
      </c>
      <c r="I229" s="194">
        <f>'Data Property 1'!I102-'Data Property 1'!I103</f>
        <v>276449.56342879659</v>
      </c>
      <c r="J229" s="194">
        <f>'Data Property 1'!J102-'Data Property 1'!J103</f>
        <v>327485.52850310027</v>
      </c>
      <c r="K229" s="194">
        <f>'Data Property 1'!K102-'Data Property 1'!K103</f>
        <v>382604.37078334833</v>
      </c>
      <c r="L229" s="194">
        <f>'Data Property 1'!L102-'Data Property 1'!L103</f>
        <v>442132.72044601617</v>
      </c>
      <c r="M229" s="194">
        <f>'Data Property 1'!M102-'Data Property 1'!M103</f>
        <v>506423.33808169747</v>
      </c>
      <c r="N229" s="194">
        <f>'Data Property 1'!N102-'Data Property 1'!N103</f>
        <v>575857.2051282333</v>
      </c>
      <c r="O229" s="194">
        <f>'Data Property 1'!O102-'Data Property 1'!O103</f>
        <v>650845.78153849195</v>
      </c>
      <c r="P229" s="194">
        <f>'Data Property 1'!P102-'Data Property 1'!P103</f>
        <v>731833.44406157127</v>
      </c>
      <c r="Q229" s="194">
        <f>'Data Property 1'!Q102-'Data Property 1'!Q103</f>
        <v>819300.11958649708</v>
      </c>
    </row>
    <row r="230" spans="1:17" x14ac:dyDescent="0.2">
      <c r="A230" t="s">
        <v>228</v>
      </c>
      <c r="B230"/>
      <c r="C230" s="195">
        <f>'Input Property 1'!$F$13</f>
        <v>1100</v>
      </c>
      <c r="D230" s="195">
        <f>'Input Property 1'!$F$13</f>
        <v>1100</v>
      </c>
      <c r="E230" s="195">
        <f>'Input Property 1'!$F$13</f>
        <v>1100</v>
      </c>
      <c r="F230" s="195">
        <f>'Input Property 1'!$F$13</f>
        <v>1100</v>
      </c>
      <c r="G230" s="195">
        <f>'Input Property 1'!$F$13</f>
        <v>1100</v>
      </c>
      <c r="H230" s="195">
        <f>'Input Property 1'!$F$13</f>
        <v>1100</v>
      </c>
      <c r="I230" s="195">
        <f>'Input Property 1'!$F$13</f>
        <v>1100</v>
      </c>
      <c r="J230" s="195">
        <f>'Input Property 1'!$F$13</f>
        <v>1100</v>
      </c>
      <c r="K230" s="195">
        <f>'Input Property 1'!$F$13</f>
        <v>1100</v>
      </c>
      <c r="L230" s="195">
        <f>'Input Property 1'!$F$13</f>
        <v>1100</v>
      </c>
      <c r="M230" s="195">
        <f>'Input Property 1'!$F$13</f>
        <v>1100</v>
      </c>
      <c r="N230" s="195">
        <f>'Input Property 1'!$F$13</f>
        <v>1100</v>
      </c>
      <c r="O230" s="195">
        <f>'Input Property 1'!$F$13</f>
        <v>1100</v>
      </c>
      <c r="P230" s="195">
        <f>'Input Property 1'!$F$13</f>
        <v>1100</v>
      </c>
      <c r="Q230" s="195">
        <f>'Input Property 1'!$F$13</f>
        <v>1100</v>
      </c>
    </row>
    <row r="231" spans="1:17" x14ac:dyDescent="0.2">
      <c r="A231" t="s">
        <v>229</v>
      </c>
      <c r="B231"/>
      <c r="C231" s="195">
        <f>'Data Property 1'!C102*'Input Property 1'!B59</f>
        <v>12060.493150684932</v>
      </c>
      <c r="D231" s="195">
        <f>'Data Property 1'!D102*'Input Property 1'!C59</f>
        <v>13350.965917808217</v>
      </c>
      <c r="E231" s="195">
        <f>'Data Property 1'!E102*'Input Property 1'!D59</f>
        <v>14779.519271013694</v>
      </c>
      <c r="F231" s="195">
        <f>'Data Property 1'!F102*'Input Property 1'!E59</f>
        <v>16360.927833012158</v>
      </c>
      <c r="G231" s="195">
        <f>'Data Property 1'!G102*'Input Property 1'!F59</f>
        <v>18111.547111144457</v>
      </c>
      <c r="H231" s="195">
        <f>'Data Property 1'!H102*'Input Property 1'!G59</f>
        <v>20049.482652036913</v>
      </c>
      <c r="I231" s="195">
        <f>'Data Property 1'!I102*'Input Property 1'!H59</f>
        <v>22194.777295804863</v>
      </c>
      <c r="J231" s="195">
        <f>'Data Property 1'!J102*'Input Property 1'!I59</f>
        <v>24569.618466455981</v>
      </c>
      <c r="K231" s="195">
        <f>'Data Property 1'!K102*'Input Property 1'!J59</f>
        <v>27198.567642366768</v>
      </c>
      <c r="L231" s="195">
        <f>'Data Property 1'!L102*'Input Property 1'!K59</f>
        <v>30108.814380100011</v>
      </c>
      <c r="M231" s="195">
        <f>'Data Property 1'!M102*'Input Property 1'!L59</f>
        <v>33330.457518770709</v>
      </c>
      <c r="N231" s="195">
        <f>'Data Property 1'!N102*'Input Property 1'!M59</f>
        <v>36896.81647327917</v>
      </c>
      <c r="O231" s="195">
        <f>'Data Property 1'!O102*'Input Property 1'!N59</f>
        <v>40844.775835920031</v>
      </c>
      <c r="P231" s="195">
        <f>'Data Property 1'!P102*'Input Property 1'!O59</f>
        <v>45215.166850363472</v>
      </c>
      <c r="Q231" s="195">
        <f>'Data Property 1'!Q102*'Input Property 1'!P59</f>
        <v>50053.189703352356</v>
      </c>
    </row>
    <row r="232" spans="1:17" x14ac:dyDescent="0.2">
      <c r="A232" t="s">
        <v>237</v>
      </c>
      <c r="B232"/>
      <c r="C232" s="195">
        <f>'Input Property 1'!B60</f>
        <v>3000</v>
      </c>
      <c r="D232" s="195">
        <f>'Input Property 1'!C60</f>
        <v>3074.9999999999995</v>
      </c>
      <c r="E232" s="195">
        <f>'Input Property 1'!D60</f>
        <v>3151.8749999999991</v>
      </c>
      <c r="F232" s="195">
        <f>'Input Property 1'!E60</f>
        <v>3230.6718749999986</v>
      </c>
      <c r="G232" s="195">
        <f>'Input Property 1'!F60</f>
        <v>3311.4386718749984</v>
      </c>
      <c r="H232" s="195">
        <f>'Input Property 1'!G60</f>
        <v>3394.224638671873</v>
      </c>
      <c r="I232" s="195">
        <f>'Input Property 1'!H60</f>
        <v>3479.0802546386694</v>
      </c>
      <c r="J232" s="195">
        <f>'Input Property 1'!I60</f>
        <v>3566.0572610046361</v>
      </c>
      <c r="K232" s="195">
        <f>'Input Property 1'!J60</f>
        <v>3655.2086925297517</v>
      </c>
      <c r="L232" s="195">
        <f>'Input Property 1'!K60</f>
        <v>3746.5889098429952</v>
      </c>
      <c r="M232" s="195">
        <f>'Input Property 1'!L60</f>
        <v>3840.2536325890696</v>
      </c>
      <c r="N232" s="195">
        <f>'Input Property 1'!M60</f>
        <v>3936.2599734037958</v>
      </c>
      <c r="O232" s="195">
        <f>'Input Property 1'!N60</f>
        <v>4034.6664727388902</v>
      </c>
      <c r="P232" s="195">
        <f>'Input Property 1'!O60</f>
        <v>4135.5331345573622</v>
      </c>
      <c r="Q232" s="195">
        <f>'Input Property 1'!P60</f>
        <v>4238.9214629212956</v>
      </c>
    </row>
    <row r="233" spans="1:17" x14ac:dyDescent="0.2">
      <c r="A233" t="s">
        <v>240</v>
      </c>
      <c r="B233"/>
      <c r="C233" s="195">
        <f>C197</f>
        <v>3000</v>
      </c>
      <c r="D233" s="195">
        <f>SUM($C197:D$197)</f>
        <v>6000</v>
      </c>
      <c r="E233" s="195">
        <f>SUM($C197:E$197)</f>
        <v>9000</v>
      </c>
      <c r="F233" s="195">
        <f>SUM($C197:F$197)</f>
        <v>12000</v>
      </c>
      <c r="G233" s="195">
        <f>SUM($C197:G$197)</f>
        <v>15000</v>
      </c>
      <c r="H233" s="195">
        <f>SUM($C197:H$197)</f>
        <v>18000</v>
      </c>
      <c r="I233" s="195">
        <f>SUM($C197:I$197)</f>
        <v>21000</v>
      </c>
      <c r="J233" s="195">
        <f>SUM($C197:J$197)</f>
        <v>24000</v>
      </c>
      <c r="K233" s="195">
        <f>SUM($C197:K$197)</f>
        <v>27000</v>
      </c>
      <c r="L233" s="195">
        <f>SUM($C197:L$197)</f>
        <v>30000</v>
      </c>
      <c r="M233" s="195">
        <f>SUM($C197:M$197)</f>
        <v>33000</v>
      </c>
      <c r="N233" s="195">
        <f>SUM($C197:N$197)</f>
        <v>36000</v>
      </c>
      <c r="O233" s="195">
        <f>SUM($C197:O$197)</f>
        <v>39000</v>
      </c>
      <c r="P233" s="195">
        <f>SUM($C197:P$197)</f>
        <v>42000</v>
      </c>
      <c r="Q233" s="195">
        <f>SUM($C197:Q$197)</f>
        <v>45000</v>
      </c>
    </row>
    <row r="234" spans="1:17" x14ac:dyDescent="0.2">
      <c r="A234" t="s">
        <v>234</v>
      </c>
      <c r="B234"/>
      <c r="C234" s="195">
        <f t="shared" ref="C234:Q234" si="44">C229-C230-C231-C232+C233</f>
        <v>27355.945205479446</v>
      </c>
      <c r="D234" s="195">
        <f t="shared" si="44"/>
        <v>61151.787506849294</v>
      </c>
      <c r="E234" s="195">
        <f t="shared" si="44"/>
        <v>97380.579427616423</v>
      </c>
      <c r="F234" s="195">
        <f t="shared" si="44"/>
        <v>136233.33188650836</v>
      </c>
      <c r="G234" s="195">
        <f t="shared" si="44"/>
        <v>177915.94033906271</v>
      </c>
      <c r="H234" s="195">
        <f t="shared" si="44"/>
        <v>222650.3329211399</v>
      </c>
      <c r="I234" s="195">
        <f t="shared" si="44"/>
        <v>270675.70587835304</v>
      </c>
      <c r="J234" s="195">
        <f t="shared" si="44"/>
        <v>322249.85277563968</v>
      </c>
      <c r="K234" s="195">
        <f t="shared" si="44"/>
        <v>377650.59444845183</v>
      </c>
      <c r="L234" s="195">
        <f t="shared" si="44"/>
        <v>437177.31715607317</v>
      </c>
      <c r="M234" s="195">
        <f t="shared" si="44"/>
        <v>501152.62693033769</v>
      </c>
      <c r="N234" s="195">
        <f t="shared" si="44"/>
        <v>569924.12868155038</v>
      </c>
      <c r="O234" s="195">
        <f t="shared" si="44"/>
        <v>643866.3392298331</v>
      </c>
      <c r="P234" s="195">
        <f t="shared" si="44"/>
        <v>723382.74407665047</v>
      </c>
      <c r="Q234" s="195">
        <f t="shared" si="44"/>
        <v>808908.00842022337</v>
      </c>
    </row>
    <row r="235" spans="1:17" x14ac:dyDescent="0.2">
      <c r="A235" t="s">
        <v>231</v>
      </c>
      <c r="B235"/>
      <c r="C235" s="195">
        <f>IF(C234&lt;0,C234,IF('Input Property 1'!$B$33&gt;('Input Property 1'!$B$21+365),C234*0.5))</f>
        <v>13677.972602739723</v>
      </c>
      <c r="D235" s="195">
        <f>IF(D234&lt;0,D234,IF('Input Property 1'!$B$33&gt;('Input Property 1'!$B$21+365),D234*0.5))</f>
        <v>30575.893753424647</v>
      </c>
      <c r="E235" s="195">
        <f>IF(E234&lt;0,E234,IF('Input Property 1'!$B$33&gt;('Input Property 1'!$B$21+365),E234*0.5))</f>
        <v>48690.289713808212</v>
      </c>
      <c r="F235" s="195">
        <f>IF(F234&lt;0,F234,IF('Input Property 1'!$B$33&gt;('Input Property 1'!$B$21+365),F234*0.5))</f>
        <v>68116.665943254178</v>
      </c>
      <c r="G235" s="195">
        <f>IF(G234&lt;0,G234,IF('Input Property 1'!$B$33&gt;('Input Property 1'!$B$21+365),G234*0.5))</f>
        <v>88957.970169531356</v>
      </c>
      <c r="H235" s="195">
        <f>IF(H234&lt;0,H234,IF('Input Property 1'!$B$33&gt;('Input Property 1'!$B$21+365),H234*0.5))</f>
        <v>111325.16646056995</v>
      </c>
      <c r="I235" s="195">
        <f>IF(I234&lt;0,I234,IF('Input Property 1'!$B$33&gt;('Input Property 1'!$B$21+365),I234*0.5))</f>
        <v>135337.85293917652</v>
      </c>
      <c r="J235" s="195">
        <f>IF(J234&lt;0,J234,IF('Input Property 1'!$B$33&gt;('Input Property 1'!$B$21+365),J234*0.5))</f>
        <v>161124.92638781984</v>
      </c>
      <c r="K235" s="195">
        <f>IF(K234&lt;0,K234,IF('Input Property 1'!$B$33&gt;('Input Property 1'!$B$21+365),K234*0.5))</f>
        <v>188825.29722422591</v>
      </c>
      <c r="L235" s="195">
        <f>IF(L234&lt;0,L234,IF('Input Property 1'!$B$33&gt;('Input Property 1'!$B$21+365),L234*0.5))</f>
        <v>218588.65857803659</v>
      </c>
      <c r="M235" s="195">
        <f>IF(M234&lt;0,M234,IF('Input Property 1'!$B$33&gt;('Input Property 1'!$B$21+365),M234*0.5))</f>
        <v>250576.31346516885</v>
      </c>
      <c r="N235" s="195">
        <f>IF(N234&lt;0,N234,IF('Input Property 1'!$B$33&gt;('Input Property 1'!$B$21+365),N234*0.5))</f>
        <v>284962.06434077519</v>
      </c>
      <c r="O235" s="195">
        <f>IF(O234&lt;0,O234,IF('Input Property 1'!$B$33&gt;('Input Property 1'!$B$21+365),O234*0.5))</f>
        <v>321933.16961491655</v>
      </c>
      <c r="P235" s="195">
        <f>IF(P234&lt;0,P234,IF('Input Property 1'!$B$33&gt;('Input Property 1'!$B$21+365),P234*0.5))</f>
        <v>361691.37203832524</v>
      </c>
      <c r="Q235" s="195">
        <f>IF(Q234&lt;0,Q234,IF('Input Property 1'!$B$33&gt;('Input Property 1'!$B$21+365),Q234*0.5))</f>
        <v>404454.00421011169</v>
      </c>
    </row>
    <row r="236" spans="1:17" x14ac:dyDescent="0.2">
      <c r="A236" t="s">
        <v>232</v>
      </c>
      <c r="B236"/>
      <c r="C236" s="195">
        <f>C235*'Input Property 1'!$B$26</f>
        <v>6838.9863013698614</v>
      </c>
      <c r="D236" s="195">
        <f>D235*'Input Property 1'!$B$26</f>
        <v>15287.946876712324</v>
      </c>
      <c r="E236" s="195">
        <f>E235*'Input Property 1'!$B$26</f>
        <v>24345.144856904106</v>
      </c>
      <c r="F236" s="195">
        <f>F235*'Input Property 1'!$B$26</f>
        <v>34058.332971627089</v>
      </c>
      <c r="G236" s="195">
        <f>G235*'Input Property 1'!$B$26</f>
        <v>44478.985084765678</v>
      </c>
      <c r="H236" s="195">
        <f>H235*'Input Property 1'!$B$26</f>
        <v>55662.583230284974</v>
      </c>
      <c r="I236" s="195">
        <f>I235*'Input Property 1'!$B$26</f>
        <v>67668.926469588259</v>
      </c>
      <c r="J236" s="195">
        <f>J235*'Input Property 1'!$B$26</f>
        <v>80562.46319390992</v>
      </c>
      <c r="K236" s="195">
        <f>K235*'Input Property 1'!$B$26</f>
        <v>94412.648612112956</v>
      </c>
      <c r="L236" s="195">
        <f>L235*'Input Property 1'!$B$26</f>
        <v>109294.32928901829</v>
      </c>
      <c r="M236" s="195">
        <f>M235*'Input Property 1'!$B$26</f>
        <v>125288.15673258442</v>
      </c>
      <c r="N236" s="195">
        <f>N235*'Input Property 1'!$B$26</f>
        <v>142481.0321703876</v>
      </c>
      <c r="O236" s="195">
        <f>O235*'Input Property 1'!$B$26</f>
        <v>160966.58480745828</v>
      </c>
      <c r="P236" s="195">
        <f>P235*'Input Property 1'!$B$26</f>
        <v>180845.68601916262</v>
      </c>
      <c r="Q236" s="195">
        <f>Q235*'Input Property 1'!$B$26</f>
        <v>202227.00210505584</v>
      </c>
    </row>
    <row r="237" spans="1:17" x14ac:dyDescent="0.2">
      <c r="A237" t="s">
        <v>233</v>
      </c>
      <c r="B237"/>
      <c r="C237" s="195">
        <f>C235*'Input Property 1'!$B$27</f>
        <v>6838.9863013698614</v>
      </c>
      <c r="D237" s="195">
        <f>D235*'Input Property 1'!$B$27</f>
        <v>15287.946876712324</v>
      </c>
      <c r="E237" s="195">
        <f>E235*'Input Property 1'!$B$27</f>
        <v>24345.144856904106</v>
      </c>
      <c r="F237" s="195">
        <f>F235*'Input Property 1'!$B$27</f>
        <v>34058.332971627089</v>
      </c>
      <c r="G237" s="195">
        <f>G235*'Input Property 1'!$B$27</f>
        <v>44478.985084765678</v>
      </c>
      <c r="H237" s="195">
        <f>H235*'Input Property 1'!$B$27</f>
        <v>55662.583230284974</v>
      </c>
      <c r="I237" s="195">
        <f>I235*'Input Property 1'!$B$27</f>
        <v>67668.926469588259</v>
      </c>
      <c r="J237" s="195">
        <f>J235*'Input Property 1'!$B$27</f>
        <v>80562.46319390992</v>
      </c>
      <c r="K237" s="195">
        <f>K235*'Input Property 1'!$B$27</f>
        <v>94412.648612112956</v>
      </c>
      <c r="L237" s="195">
        <f>L235*'Input Property 1'!$B$27</f>
        <v>109294.32928901829</v>
      </c>
      <c r="M237" s="195">
        <f>M235*'Input Property 1'!$B$27</f>
        <v>125288.15673258442</v>
      </c>
      <c r="N237" s="195">
        <f>N235*'Input Property 1'!$B$27</f>
        <v>142481.0321703876</v>
      </c>
      <c r="O237" s="195">
        <f>O235*'Input Property 1'!$B$27</f>
        <v>160966.58480745828</v>
      </c>
      <c r="P237" s="195">
        <f>P235*'Input Property 1'!$B$27</f>
        <v>180845.68601916262</v>
      </c>
      <c r="Q237" s="195">
        <f>Q235*'Input Property 1'!$B$27</f>
        <v>202227.00210505584</v>
      </c>
    </row>
  </sheetData>
  <phoneticPr fontId="9" type="noConversion"/>
  <pageMargins left="0.47" right="0.5" top="1" bottom="1" header="0.5" footer="0.5"/>
  <pageSetup paperSize="9" orientation="landscape" horizontalDpi="300" verticalDpi="300" r:id="rId1"/>
  <headerFooter alignWithMargins="0">
    <oddHeader>&amp;C&amp;F 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7"/>
  <sheetViews>
    <sheetView zoomScale="85" zoomScaleNormal="85" workbookViewId="0">
      <selection activeCell="N24" sqref="N24"/>
    </sheetView>
  </sheetViews>
  <sheetFormatPr defaultColWidth="9.140625" defaultRowHeight="12.75" x14ac:dyDescent="0.2"/>
  <cols>
    <col min="1" max="1" width="28.140625" style="46" customWidth="1"/>
    <col min="2" max="2" width="12.42578125" style="46" bestFit="1" customWidth="1"/>
    <col min="3" max="6" width="10.42578125" style="46" customWidth="1"/>
    <col min="7" max="7" width="11.5703125" style="46" customWidth="1"/>
    <col min="8" max="16" width="10.42578125" style="46" customWidth="1"/>
    <col min="17" max="17" width="10.42578125" style="46" hidden="1" customWidth="1"/>
    <col min="18" max="22" width="0" style="46" hidden="1" customWidth="1"/>
    <col min="23" max="16384" width="9.140625" style="46"/>
  </cols>
  <sheetData>
    <row r="1" spans="1:25" x14ac:dyDescent="0.2">
      <c r="A1" s="72" t="s">
        <v>145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25" x14ac:dyDescent="0.2">
      <c r="A2" s="155" t="s">
        <v>8</v>
      </c>
      <c r="B2" s="254" t="s">
        <v>5</v>
      </c>
      <c r="C2" s="156"/>
      <c r="D2" s="156"/>
      <c r="E2" s="157" t="s">
        <v>38</v>
      </c>
      <c r="F2" s="158"/>
      <c r="G2" s="156"/>
      <c r="H2" s="156"/>
      <c r="I2" s="156"/>
      <c r="J2" s="157" t="s">
        <v>43</v>
      </c>
      <c r="K2" s="159"/>
      <c r="L2" s="71"/>
    </row>
    <row r="3" spans="1:25" x14ac:dyDescent="0.2">
      <c r="A3" s="160" t="s">
        <v>117</v>
      </c>
      <c r="B3" s="137">
        <v>450000</v>
      </c>
      <c r="E3" s="138" t="s">
        <v>60</v>
      </c>
      <c r="F3" s="51">
        <v>8000</v>
      </c>
      <c r="J3" s="138" t="s">
        <v>9</v>
      </c>
      <c r="K3" s="161">
        <f>Duties!B10</f>
        <v>1410</v>
      </c>
      <c r="L3" s="71"/>
      <c r="W3" s="46" t="s">
        <v>172</v>
      </c>
      <c r="Y3" s="46" t="s">
        <v>1</v>
      </c>
    </row>
    <row r="4" spans="1:25" x14ac:dyDescent="0.2">
      <c r="A4" s="160" t="s">
        <v>11</v>
      </c>
      <c r="B4" s="137">
        <v>110000</v>
      </c>
      <c r="E4" s="138" t="s">
        <v>68</v>
      </c>
      <c r="F4" s="139"/>
      <c r="J4" s="140" t="s">
        <v>85</v>
      </c>
      <c r="K4" s="161">
        <v>0</v>
      </c>
      <c r="L4" s="71"/>
      <c r="M4" s="141"/>
      <c r="W4" s="46" t="s">
        <v>215</v>
      </c>
      <c r="Y4" s="46" t="s">
        <v>0</v>
      </c>
    </row>
    <row r="5" spans="1:25" x14ac:dyDescent="0.2">
      <c r="A5" s="160" t="s">
        <v>86</v>
      </c>
      <c r="B5" s="142">
        <f>'Input Property 2'!B3+F13+K13</f>
        <v>460910</v>
      </c>
      <c r="C5" s="142"/>
      <c r="E5" s="138" t="s">
        <v>61</v>
      </c>
      <c r="F5" s="139">
        <v>800</v>
      </c>
      <c r="J5" s="140" t="s">
        <v>221</v>
      </c>
      <c r="K5" s="162">
        <f>K4*0.11</f>
        <v>0</v>
      </c>
      <c r="L5" s="71"/>
      <c r="M5" s="141"/>
      <c r="W5" s="46" t="s">
        <v>216</v>
      </c>
      <c r="Y5" s="46" t="s">
        <v>5</v>
      </c>
    </row>
    <row r="6" spans="1:25" x14ac:dyDescent="0.2">
      <c r="A6" s="160" t="s">
        <v>17</v>
      </c>
      <c r="B6" s="137">
        <v>380</v>
      </c>
      <c r="E6" s="138" t="s">
        <v>62</v>
      </c>
      <c r="F6" s="139"/>
      <c r="G6" s="51"/>
      <c r="J6" s="138" t="s">
        <v>87</v>
      </c>
      <c r="K6" s="163"/>
      <c r="L6" s="71"/>
      <c r="M6" s="141"/>
      <c r="W6" s="46" t="s">
        <v>217</v>
      </c>
      <c r="Y6" s="46" t="s">
        <v>7</v>
      </c>
    </row>
    <row r="7" spans="1:25" x14ac:dyDescent="0.2">
      <c r="A7" s="160" t="s">
        <v>149</v>
      </c>
      <c r="B7" s="143">
        <v>51</v>
      </c>
      <c r="E7" s="138" t="s">
        <v>63</v>
      </c>
      <c r="F7" s="139"/>
      <c r="G7" s="51"/>
      <c r="J7" s="138" t="s">
        <v>222</v>
      </c>
      <c r="K7" s="162">
        <f>K6*0.11</f>
        <v>0</v>
      </c>
      <c r="L7" s="71"/>
      <c r="M7" s="141"/>
      <c r="W7" s="46" t="s">
        <v>37</v>
      </c>
      <c r="Y7" s="46" t="s">
        <v>4</v>
      </c>
    </row>
    <row r="8" spans="1:25" x14ac:dyDescent="0.2">
      <c r="A8" s="212" t="s">
        <v>84</v>
      </c>
      <c r="B8" s="147">
        <f>(B3-B4)/B3</f>
        <v>0.75555555555555554</v>
      </c>
      <c r="C8" s="249" t="str">
        <f>IF(B8&gt;0.8,"LMI?","")</f>
        <v/>
      </c>
      <c r="E8" s="138" t="s">
        <v>64</v>
      </c>
      <c r="F8" s="139">
        <v>300</v>
      </c>
      <c r="G8" s="51"/>
      <c r="J8" s="140" t="s">
        <v>73</v>
      </c>
      <c r="K8" s="161">
        <v>0</v>
      </c>
      <c r="L8" s="71"/>
      <c r="M8" s="141"/>
      <c r="Y8" s="46" t="s">
        <v>6</v>
      </c>
    </row>
    <row r="9" spans="1:25" x14ac:dyDescent="0.2">
      <c r="A9" s="85"/>
      <c r="J9" s="140" t="s">
        <v>65</v>
      </c>
      <c r="K9" s="161"/>
      <c r="L9" s="71"/>
      <c r="M9" s="141"/>
      <c r="Y9" s="46" t="s">
        <v>3</v>
      </c>
    </row>
    <row r="10" spans="1:25" x14ac:dyDescent="0.2">
      <c r="A10" s="85"/>
      <c r="G10" s="51"/>
      <c r="J10" s="138" t="s">
        <v>67</v>
      </c>
      <c r="K10" s="161"/>
      <c r="L10" s="71"/>
      <c r="M10" s="141"/>
      <c r="Y10" s="46" t="s">
        <v>2</v>
      </c>
    </row>
    <row r="11" spans="1:25" x14ac:dyDescent="0.2">
      <c r="A11" s="85"/>
      <c r="F11" s="51"/>
      <c r="G11" s="51"/>
      <c r="J11" s="138" t="s">
        <v>66</v>
      </c>
      <c r="K11" s="161">
        <v>400</v>
      </c>
      <c r="L11" s="71"/>
      <c r="M11" s="141"/>
    </row>
    <row r="12" spans="1:25" x14ac:dyDescent="0.2">
      <c r="A12" s="85"/>
      <c r="K12" s="164"/>
      <c r="L12" s="71"/>
      <c r="M12" s="141"/>
    </row>
    <row r="13" spans="1:25" x14ac:dyDescent="0.2">
      <c r="A13" s="88"/>
      <c r="B13" s="165"/>
      <c r="C13" s="165"/>
      <c r="D13" s="165"/>
      <c r="E13" s="166" t="s">
        <v>44</v>
      </c>
      <c r="F13" s="167">
        <f>SUM(F3:F11)</f>
        <v>9100</v>
      </c>
      <c r="G13" s="165"/>
      <c r="H13" s="165"/>
      <c r="I13" s="165"/>
      <c r="J13" s="168" t="s">
        <v>44</v>
      </c>
      <c r="K13" s="169">
        <f>SUM(K3:K11)</f>
        <v>1810</v>
      </c>
      <c r="L13" s="71"/>
    </row>
    <row r="14" spans="1:25" hidden="1" x14ac:dyDescent="0.2">
      <c r="A14" s="136" t="s">
        <v>82</v>
      </c>
      <c r="B14" s="145">
        <f>'Input Property 2'!B3+F13+SUM(K4:K11)-B4</f>
        <v>349500</v>
      </c>
      <c r="C14" s="82"/>
      <c r="D14" s="82"/>
      <c r="E14" s="200"/>
      <c r="F14" s="201"/>
      <c r="G14" s="82"/>
      <c r="H14" s="82"/>
      <c r="I14" s="82"/>
      <c r="J14" s="202"/>
      <c r="K14" s="203"/>
      <c r="L14" s="71"/>
    </row>
    <row r="15" spans="1:25" x14ac:dyDescent="0.2">
      <c r="A15" s="60"/>
      <c r="B15" s="60"/>
      <c r="C15" s="60"/>
      <c r="D15" s="82"/>
      <c r="E15" s="82"/>
      <c r="F15" s="82"/>
      <c r="G15" s="82"/>
      <c r="H15" s="60"/>
      <c r="I15" s="60"/>
      <c r="J15" s="60"/>
      <c r="K15" s="60"/>
    </row>
    <row r="16" spans="1:25" x14ac:dyDescent="0.2">
      <c r="A16" s="136" t="s">
        <v>82</v>
      </c>
      <c r="B16" s="142">
        <f>B5-B4+Duties!B10</f>
        <v>352320</v>
      </c>
      <c r="C16" s="75"/>
      <c r="D16" s="178"/>
      <c r="E16" s="381" t="s">
        <v>213</v>
      </c>
      <c r="F16" s="382"/>
      <c r="G16" s="171"/>
      <c r="H16" s="71"/>
      <c r="I16" s="170"/>
      <c r="J16" s="156" t="s">
        <v>219</v>
      </c>
      <c r="K16" s="171"/>
    </row>
    <row r="17" spans="1:22" x14ac:dyDescent="0.2">
      <c r="A17" s="136" t="s">
        <v>83</v>
      </c>
      <c r="B17" s="145"/>
      <c r="C17" s="75"/>
      <c r="D17" s="379" t="s">
        <v>119</v>
      </c>
      <c r="E17" s="380"/>
      <c r="F17" s="217">
        <v>7.0000000000000007E-2</v>
      </c>
      <c r="G17" s="164"/>
      <c r="H17" s="71"/>
      <c r="I17" s="379" t="s">
        <v>119</v>
      </c>
      <c r="J17" s="380"/>
      <c r="K17" s="183">
        <f>F17</f>
        <v>7.0000000000000007E-2</v>
      </c>
    </row>
    <row r="18" spans="1:22" x14ac:dyDescent="0.2">
      <c r="A18" s="136" t="s">
        <v>88</v>
      </c>
      <c r="B18" s="255">
        <v>3.32E-2</v>
      </c>
      <c r="C18" s="75"/>
      <c r="D18" s="85"/>
      <c r="E18" s="179" t="s">
        <v>54</v>
      </c>
      <c r="F18" s="181">
        <v>300</v>
      </c>
      <c r="G18" s="182" t="s">
        <v>217</v>
      </c>
      <c r="H18" s="71"/>
      <c r="I18" s="85"/>
      <c r="J18" s="146" t="s">
        <v>54</v>
      </c>
      <c r="K18" s="184">
        <f t="shared" ref="K18:K31" si="0">IF(G18=$W$3,F18*52.25,IF(G18=$W$4,F18*26,IF(G18=$W$5,F18*12,IF(G18=$W$6,F18*4,IF(G18=$W$7,F18,0)))))</f>
        <v>1200</v>
      </c>
    </row>
    <row r="19" spans="1:22" x14ac:dyDescent="0.2">
      <c r="A19" s="136" t="s">
        <v>89</v>
      </c>
      <c r="B19" s="147"/>
      <c r="C19" s="75"/>
      <c r="D19" s="85"/>
      <c r="E19" s="179" t="s">
        <v>55</v>
      </c>
      <c r="F19" s="181">
        <v>1000</v>
      </c>
      <c r="G19" s="182" t="s">
        <v>37</v>
      </c>
      <c r="H19" s="71"/>
      <c r="I19" s="85"/>
      <c r="J19" s="146" t="s">
        <v>55</v>
      </c>
      <c r="K19" s="184">
        <f t="shared" si="0"/>
        <v>1000</v>
      </c>
    </row>
    <row r="20" spans="1:22" x14ac:dyDescent="0.2">
      <c r="A20" s="136" t="s">
        <v>29</v>
      </c>
      <c r="B20" s="148">
        <v>43952</v>
      </c>
      <c r="C20" s="75"/>
      <c r="D20" s="85"/>
      <c r="E20" s="179" t="s">
        <v>212</v>
      </c>
      <c r="F20" s="181">
        <v>0</v>
      </c>
      <c r="G20" s="182" t="s">
        <v>172</v>
      </c>
      <c r="H20" s="71"/>
      <c r="I20" s="85"/>
      <c r="J20" s="146" t="s">
        <v>212</v>
      </c>
      <c r="K20" s="184">
        <f t="shared" si="0"/>
        <v>0</v>
      </c>
    </row>
    <row r="21" spans="1:22" x14ac:dyDescent="0.2">
      <c r="A21" s="136" t="s">
        <v>155</v>
      </c>
      <c r="B21" s="251">
        <f>DATE(YEAR(B20),6,30)</f>
        <v>44012</v>
      </c>
      <c r="C21" s="75"/>
      <c r="D21" s="85"/>
      <c r="E21" s="179" t="s">
        <v>28</v>
      </c>
      <c r="F21" s="181">
        <v>50</v>
      </c>
      <c r="G21" s="182" t="s">
        <v>172</v>
      </c>
      <c r="H21" s="71"/>
      <c r="I21" s="85"/>
      <c r="J21" s="146" t="s">
        <v>28</v>
      </c>
      <c r="K21" s="184">
        <f t="shared" si="0"/>
        <v>2612.5</v>
      </c>
    </row>
    <row r="22" spans="1:22" x14ac:dyDescent="0.2">
      <c r="A22" s="212" t="s">
        <v>165</v>
      </c>
      <c r="B22" s="211">
        <v>2.9000000000000001E-2</v>
      </c>
      <c r="C22" s="75"/>
      <c r="D22" s="85"/>
      <c r="E22" s="179" t="s">
        <v>18</v>
      </c>
      <c r="F22" s="181">
        <v>0</v>
      </c>
      <c r="G22" s="182" t="s">
        <v>172</v>
      </c>
      <c r="H22" s="71"/>
      <c r="I22" s="85"/>
      <c r="J22" s="146" t="s">
        <v>18</v>
      </c>
      <c r="K22" s="184">
        <f t="shared" si="0"/>
        <v>0</v>
      </c>
    </row>
    <row r="23" spans="1:22" x14ac:dyDescent="0.2">
      <c r="A23" s="212" t="s">
        <v>243</v>
      </c>
      <c r="B23" s="211">
        <v>0.06</v>
      </c>
      <c r="C23" s="177"/>
      <c r="D23" s="85"/>
      <c r="E23" s="179" t="s">
        <v>19</v>
      </c>
      <c r="F23" s="181">
        <v>1800</v>
      </c>
      <c r="G23" s="182" t="s">
        <v>37</v>
      </c>
      <c r="H23" s="71"/>
      <c r="I23" s="85"/>
      <c r="J23" s="146" t="s">
        <v>19</v>
      </c>
      <c r="K23" s="184">
        <f t="shared" si="0"/>
        <v>1800</v>
      </c>
    </row>
    <row r="24" spans="1:22" x14ac:dyDescent="0.2">
      <c r="C24" s="75"/>
      <c r="D24" s="85"/>
      <c r="E24" s="179" t="s">
        <v>20</v>
      </c>
      <c r="F24" s="181">
        <v>0</v>
      </c>
      <c r="G24" s="182" t="s">
        <v>172</v>
      </c>
      <c r="H24" s="71"/>
      <c r="I24" s="85"/>
      <c r="J24" s="146" t="s">
        <v>20</v>
      </c>
      <c r="K24" s="184">
        <f t="shared" si="0"/>
        <v>0</v>
      </c>
    </row>
    <row r="25" spans="1:22" x14ac:dyDescent="0.2">
      <c r="A25" s="144" t="s">
        <v>148</v>
      </c>
      <c r="B25" s="149"/>
      <c r="C25" s="75"/>
      <c r="D25" s="85"/>
      <c r="E25" s="179" t="s">
        <v>21</v>
      </c>
      <c r="F25" s="181">
        <v>0</v>
      </c>
      <c r="G25" s="182" t="s">
        <v>172</v>
      </c>
      <c r="H25" s="71"/>
      <c r="I25" s="85"/>
      <c r="J25" s="146" t="s">
        <v>21</v>
      </c>
      <c r="K25" s="184">
        <f t="shared" si="0"/>
        <v>0</v>
      </c>
    </row>
    <row r="26" spans="1:22" x14ac:dyDescent="0.2">
      <c r="A26" s="136" t="s">
        <v>140</v>
      </c>
      <c r="B26" s="150">
        <v>0.5</v>
      </c>
      <c r="C26" s="75"/>
      <c r="D26" s="85"/>
      <c r="E26" s="179" t="s">
        <v>22</v>
      </c>
      <c r="F26" s="181">
        <v>0</v>
      </c>
      <c r="G26" s="182" t="s">
        <v>172</v>
      </c>
      <c r="H26" s="71"/>
      <c r="I26" s="85"/>
      <c r="J26" s="146" t="s">
        <v>22</v>
      </c>
      <c r="K26" s="184">
        <f t="shared" si="0"/>
        <v>0</v>
      </c>
      <c r="V26" s="46">
        <v>0.5</v>
      </c>
    </row>
    <row r="27" spans="1:22" x14ac:dyDescent="0.2">
      <c r="A27" s="136" t="s">
        <v>141</v>
      </c>
      <c r="B27" s="151">
        <f>1-B26</f>
        <v>0.5</v>
      </c>
      <c r="C27" s="75"/>
      <c r="D27" s="85"/>
      <c r="E27" s="179" t="s">
        <v>23</v>
      </c>
      <c r="F27" s="181">
        <v>0</v>
      </c>
      <c r="G27" s="182" t="s">
        <v>172</v>
      </c>
      <c r="H27" s="71"/>
      <c r="I27" s="85"/>
      <c r="J27" s="146" t="s">
        <v>23</v>
      </c>
      <c r="K27" s="184">
        <f t="shared" si="0"/>
        <v>0</v>
      </c>
      <c r="V27" s="46">
        <v>1</v>
      </c>
    </row>
    <row r="28" spans="1:22" x14ac:dyDescent="0.2">
      <c r="A28" s="144" t="s">
        <v>50</v>
      </c>
      <c r="B28" s="151"/>
      <c r="C28" s="75"/>
      <c r="D28" s="85"/>
      <c r="E28" s="179" t="s">
        <v>24</v>
      </c>
      <c r="F28" s="181">
        <v>0</v>
      </c>
      <c r="G28" s="182" t="s">
        <v>172</v>
      </c>
      <c r="H28" s="71"/>
      <c r="I28" s="85"/>
      <c r="J28" s="146" t="s">
        <v>24</v>
      </c>
      <c r="K28" s="184">
        <f t="shared" si="0"/>
        <v>0</v>
      </c>
      <c r="V28" s="46">
        <v>2</v>
      </c>
    </row>
    <row r="29" spans="1:22" x14ac:dyDescent="0.2">
      <c r="A29" s="136" t="s">
        <v>146</v>
      </c>
      <c r="B29" s="378">
        <f>'Input Property 1'!B29</f>
        <v>123000</v>
      </c>
      <c r="C29" s="75"/>
      <c r="D29" s="85"/>
      <c r="E29" s="179" t="s">
        <v>25</v>
      </c>
      <c r="F29" s="181">
        <v>0</v>
      </c>
      <c r="G29" s="182" t="s">
        <v>215</v>
      </c>
      <c r="H29" s="71"/>
      <c r="I29" s="85"/>
      <c r="J29" s="146" t="s">
        <v>25</v>
      </c>
      <c r="K29" s="184">
        <f t="shared" si="0"/>
        <v>0</v>
      </c>
    </row>
    <row r="30" spans="1:22" x14ac:dyDescent="0.2">
      <c r="A30" s="136" t="s">
        <v>147</v>
      </c>
      <c r="B30" s="378">
        <f>'Input Property 1'!B30</f>
        <v>96000</v>
      </c>
      <c r="C30" s="75"/>
      <c r="D30" s="85"/>
      <c r="E30" s="179" t="s">
        <v>26</v>
      </c>
      <c r="F30" s="181">
        <v>11</v>
      </c>
      <c r="G30" s="182" t="s">
        <v>172</v>
      </c>
      <c r="H30" s="71"/>
      <c r="I30" s="85"/>
      <c r="J30" s="146" t="s">
        <v>26</v>
      </c>
      <c r="K30" s="184">
        <f t="shared" si="0"/>
        <v>574.75</v>
      </c>
    </row>
    <row r="31" spans="1:22" x14ac:dyDescent="0.2">
      <c r="A31" s="136" t="s">
        <v>242</v>
      </c>
      <c r="B31" s="239">
        <f>'Input Property 1'!B31</f>
        <v>0.02</v>
      </c>
      <c r="C31" s="75"/>
      <c r="D31" s="85"/>
      <c r="E31" s="179" t="s">
        <v>27</v>
      </c>
      <c r="F31" s="181">
        <v>0</v>
      </c>
      <c r="G31" s="182" t="s">
        <v>172</v>
      </c>
      <c r="H31" s="71"/>
      <c r="I31" s="85"/>
      <c r="J31" s="146" t="s">
        <v>27</v>
      </c>
      <c r="K31" s="184">
        <f t="shared" si="0"/>
        <v>0</v>
      </c>
    </row>
    <row r="32" spans="1:22" x14ac:dyDescent="0.2">
      <c r="A32" s="136" t="s">
        <v>30</v>
      </c>
      <c r="B32" s="148">
        <v>43707</v>
      </c>
      <c r="C32" s="75"/>
      <c r="D32" s="88"/>
      <c r="E32" s="180"/>
      <c r="F32" s="218"/>
      <c r="G32" s="219"/>
      <c r="H32" s="71"/>
      <c r="I32" s="88"/>
      <c r="J32" s="172"/>
      <c r="K32" s="185"/>
    </row>
    <row r="33" spans="1:17" x14ac:dyDescent="0.2">
      <c r="A33" s="174" t="s">
        <v>156</v>
      </c>
      <c r="B33" s="175">
        <f>B20+(100*365)</f>
        <v>80452</v>
      </c>
      <c r="C33" s="75"/>
      <c r="H33" s="71"/>
      <c r="K33" s="60"/>
    </row>
    <row r="34" spans="1:17" x14ac:dyDescent="0.2">
      <c r="A34" s="174" t="s">
        <v>223</v>
      </c>
      <c r="B34" s="187">
        <v>0.3</v>
      </c>
      <c r="C34" s="75"/>
      <c r="D34" s="60"/>
      <c r="E34" s="60"/>
      <c r="F34" s="60"/>
      <c r="G34" s="60"/>
      <c r="H34" s="71"/>
      <c r="K34" s="60"/>
    </row>
    <row r="35" spans="1:17" x14ac:dyDescent="0.2">
      <c r="A35" s="174" t="s">
        <v>224</v>
      </c>
      <c r="B35" s="192">
        <v>5000</v>
      </c>
      <c r="C35" s="75"/>
      <c r="D35" s="60"/>
      <c r="E35" s="60"/>
      <c r="F35" s="60"/>
      <c r="G35" s="60"/>
      <c r="H35" s="71"/>
      <c r="K35" s="60"/>
    </row>
    <row r="36" spans="1:17" x14ac:dyDescent="0.2">
      <c r="A36" s="212" t="s">
        <v>150</v>
      </c>
      <c r="B36" s="239">
        <f>'Input Property 1'!B36</f>
        <v>2.5000000000000001E-2</v>
      </c>
      <c r="D36" s="60"/>
      <c r="E36" s="60"/>
      <c r="F36" s="60"/>
      <c r="G36" s="60"/>
      <c r="K36" s="60"/>
    </row>
    <row r="37" spans="1:17" x14ac:dyDescent="0.2">
      <c r="A37" s="214"/>
      <c r="B37" s="247"/>
      <c r="C37" s="76"/>
      <c r="D37" s="82"/>
      <c r="E37" s="82"/>
      <c r="F37" s="82"/>
      <c r="G37" s="82"/>
      <c r="H37" s="76"/>
      <c r="I37" s="76"/>
      <c r="J37" s="76"/>
      <c r="K37" s="82"/>
      <c r="L37" s="76"/>
      <c r="M37" s="76"/>
      <c r="N37" s="76"/>
      <c r="O37" s="76"/>
      <c r="P37" s="76"/>
      <c r="Q37" s="76"/>
    </row>
    <row r="38" spans="1:17" x14ac:dyDescent="0.2">
      <c r="A38" s="214" t="s">
        <v>244</v>
      </c>
      <c r="B38" s="216">
        <v>1</v>
      </c>
      <c r="C38" s="76"/>
      <c r="D38" s="82"/>
      <c r="E38" s="82"/>
      <c r="F38" s="82"/>
      <c r="G38" s="82"/>
      <c r="H38" s="76"/>
      <c r="I38" s="76"/>
      <c r="J38" s="76"/>
      <c r="K38" s="82"/>
      <c r="L38" s="76"/>
      <c r="M38" s="76"/>
      <c r="N38" s="76"/>
      <c r="O38" s="76"/>
      <c r="P38" s="76"/>
      <c r="Q38" s="76"/>
    </row>
    <row r="39" spans="1:17" x14ac:dyDescent="0.2">
      <c r="A39" s="214" t="s">
        <v>220</v>
      </c>
      <c r="B39" s="215">
        <v>0.9</v>
      </c>
      <c r="C39" s="76"/>
      <c r="D39" s="82"/>
      <c r="E39" s="82"/>
      <c r="F39" s="82"/>
      <c r="G39" s="82"/>
      <c r="H39" s="76"/>
      <c r="I39" s="76"/>
      <c r="J39" s="76"/>
      <c r="K39" s="82"/>
      <c r="L39" s="76"/>
      <c r="M39" s="76"/>
      <c r="N39" s="76"/>
      <c r="O39" s="76"/>
      <c r="P39" s="76"/>
      <c r="Q39" s="76"/>
    </row>
    <row r="40" spans="1:17" x14ac:dyDescent="0.2">
      <c r="A40" s="214"/>
      <c r="B40" s="247"/>
      <c r="C40" s="76"/>
      <c r="D40" s="82"/>
      <c r="E40" s="82"/>
      <c r="F40" s="82"/>
      <c r="G40" s="82"/>
      <c r="H40" s="76"/>
      <c r="I40" s="76"/>
      <c r="J40" s="76"/>
      <c r="K40" s="82"/>
      <c r="L40" s="76"/>
      <c r="M40" s="76"/>
      <c r="N40" s="76"/>
      <c r="O40" s="76"/>
      <c r="P40" s="76"/>
      <c r="Q40" s="76"/>
    </row>
    <row r="41" spans="1:17" x14ac:dyDescent="0.2">
      <c r="A41" s="214"/>
      <c r="B41" s="247"/>
      <c r="C41" s="76"/>
      <c r="D41" s="82"/>
      <c r="E41" s="82"/>
      <c r="F41" s="82"/>
      <c r="G41" s="82"/>
      <c r="H41" s="76"/>
      <c r="I41" s="76"/>
      <c r="J41" s="76"/>
      <c r="K41" s="82"/>
      <c r="L41" s="76"/>
      <c r="M41" s="76"/>
      <c r="N41" s="76"/>
      <c r="O41" s="76"/>
      <c r="P41" s="76"/>
      <c r="Q41" s="76"/>
    </row>
    <row r="42" spans="1:17" x14ac:dyDescent="0.2">
      <c r="A42" s="214"/>
      <c r="B42" s="247"/>
      <c r="C42" s="76"/>
      <c r="D42" s="82"/>
      <c r="E42" s="82"/>
      <c r="F42" s="82"/>
      <c r="G42" s="82"/>
      <c r="H42" s="76"/>
      <c r="I42" s="76"/>
      <c r="J42" s="76"/>
      <c r="K42" s="82"/>
      <c r="L42" s="76"/>
      <c r="M42" s="76"/>
      <c r="N42" s="76"/>
      <c r="O42" s="76"/>
      <c r="P42" s="76"/>
      <c r="Q42" s="76"/>
    </row>
    <row r="43" spans="1:17" ht="13.5" thickBot="1" x14ac:dyDescent="0.25">
      <c r="A43" s="213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</row>
    <row r="44" spans="1:17" x14ac:dyDescent="0.2">
      <c r="A44" s="221"/>
      <c r="B44" s="222" t="s">
        <v>95</v>
      </c>
      <c r="C44" s="222" t="s">
        <v>96</v>
      </c>
      <c r="D44" s="222" t="s">
        <v>97</v>
      </c>
      <c r="E44" s="222" t="s">
        <v>98</v>
      </c>
      <c r="F44" s="222" t="s">
        <v>99</v>
      </c>
      <c r="G44" s="222" t="s">
        <v>100</v>
      </c>
      <c r="H44" s="222" t="s">
        <v>101</v>
      </c>
      <c r="I44" s="222" t="s">
        <v>102</v>
      </c>
      <c r="J44" s="222" t="s">
        <v>103</v>
      </c>
      <c r="K44" s="222" t="s">
        <v>104</v>
      </c>
      <c r="L44" s="222" t="s">
        <v>105</v>
      </c>
      <c r="M44" s="222" t="s">
        <v>106</v>
      </c>
      <c r="N44" s="222" t="s">
        <v>107</v>
      </c>
      <c r="O44" s="222" t="s">
        <v>108</v>
      </c>
      <c r="P44" s="223" t="s">
        <v>109</v>
      </c>
      <c r="Q44" s="71"/>
    </row>
    <row r="45" spans="1:17" x14ac:dyDescent="0.2">
      <c r="A45" s="224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225"/>
      <c r="Q45" s="71"/>
    </row>
    <row r="46" spans="1:17" x14ac:dyDescent="0.2">
      <c r="A46" s="224" t="s">
        <v>146</v>
      </c>
      <c r="B46" s="47">
        <f>B29</f>
        <v>123000</v>
      </c>
      <c r="C46" s="47">
        <f>B46*(1+B47)</f>
        <v>125460</v>
      </c>
      <c r="D46" s="47">
        <f t="shared" ref="D46:P46" si="1">C46*(1+C47)</f>
        <v>127969.2</v>
      </c>
      <c r="E46" s="47">
        <f t="shared" si="1"/>
        <v>130528.584</v>
      </c>
      <c r="F46" s="47">
        <f t="shared" si="1"/>
        <v>133139.15568</v>
      </c>
      <c r="G46" s="47">
        <f t="shared" si="1"/>
        <v>135801.93879360001</v>
      </c>
      <c r="H46" s="47">
        <f t="shared" si="1"/>
        <v>138517.97756947202</v>
      </c>
      <c r="I46" s="47">
        <f t="shared" si="1"/>
        <v>141288.33712086146</v>
      </c>
      <c r="J46" s="47">
        <f t="shared" si="1"/>
        <v>144114.10386327869</v>
      </c>
      <c r="K46" s="47">
        <f t="shared" si="1"/>
        <v>146996.38594054428</v>
      </c>
      <c r="L46" s="47">
        <f t="shared" si="1"/>
        <v>149936.31365935516</v>
      </c>
      <c r="M46" s="47">
        <f t="shared" si="1"/>
        <v>152935.03993254228</v>
      </c>
      <c r="N46" s="47">
        <f t="shared" si="1"/>
        <v>155993.74073119313</v>
      </c>
      <c r="O46" s="47">
        <f t="shared" si="1"/>
        <v>159113.61554581701</v>
      </c>
      <c r="P46" s="226">
        <f t="shared" si="1"/>
        <v>162295.88785673334</v>
      </c>
      <c r="Q46" s="71"/>
    </row>
    <row r="47" spans="1:17" x14ac:dyDescent="0.2">
      <c r="A47" s="224" t="s">
        <v>218</v>
      </c>
      <c r="B47" s="186">
        <f>$B$31</f>
        <v>0.02</v>
      </c>
      <c r="C47" s="186">
        <f t="shared" ref="C47:P47" si="2">$B$31</f>
        <v>0.02</v>
      </c>
      <c r="D47" s="186">
        <f t="shared" si="2"/>
        <v>0.02</v>
      </c>
      <c r="E47" s="186">
        <f t="shared" si="2"/>
        <v>0.02</v>
      </c>
      <c r="F47" s="186">
        <f t="shared" si="2"/>
        <v>0.02</v>
      </c>
      <c r="G47" s="186">
        <f t="shared" si="2"/>
        <v>0.02</v>
      </c>
      <c r="H47" s="186">
        <f t="shared" si="2"/>
        <v>0.02</v>
      </c>
      <c r="I47" s="186">
        <f t="shared" si="2"/>
        <v>0.02</v>
      </c>
      <c r="J47" s="186">
        <f t="shared" si="2"/>
        <v>0.02</v>
      </c>
      <c r="K47" s="186">
        <f t="shared" si="2"/>
        <v>0.02</v>
      </c>
      <c r="L47" s="186">
        <f t="shared" si="2"/>
        <v>0.02</v>
      </c>
      <c r="M47" s="186">
        <f t="shared" si="2"/>
        <v>0.02</v>
      </c>
      <c r="N47" s="186">
        <f t="shared" si="2"/>
        <v>0.02</v>
      </c>
      <c r="O47" s="186">
        <f t="shared" si="2"/>
        <v>0.02</v>
      </c>
      <c r="P47" s="227">
        <f t="shared" si="2"/>
        <v>0.02</v>
      </c>
      <c r="Q47" s="71"/>
    </row>
    <row r="48" spans="1:17" x14ac:dyDescent="0.2">
      <c r="A48" s="224" t="s">
        <v>147</v>
      </c>
      <c r="B48" s="47">
        <f>B30</f>
        <v>96000</v>
      </c>
      <c r="C48" s="47">
        <f>B48*(1+B49)</f>
        <v>97920</v>
      </c>
      <c r="D48" s="47">
        <f t="shared" ref="D48:P48" si="3">C48*(1+C49)</f>
        <v>99878.400000000009</v>
      </c>
      <c r="E48" s="47">
        <f t="shared" si="3"/>
        <v>101875.96800000001</v>
      </c>
      <c r="F48" s="47">
        <f t="shared" si="3"/>
        <v>103913.48736000001</v>
      </c>
      <c r="G48" s="47">
        <f t="shared" si="3"/>
        <v>105991.75710720001</v>
      </c>
      <c r="H48" s="47">
        <f t="shared" si="3"/>
        <v>108111.59224934402</v>
      </c>
      <c r="I48" s="47">
        <f t="shared" si="3"/>
        <v>110273.82409433089</v>
      </c>
      <c r="J48" s="47">
        <f t="shared" si="3"/>
        <v>112479.30057621752</v>
      </c>
      <c r="K48" s="47">
        <f t="shared" si="3"/>
        <v>114728.88658774187</v>
      </c>
      <c r="L48" s="47">
        <f t="shared" si="3"/>
        <v>117023.46431949671</v>
      </c>
      <c r="M48" s="47">
        <f t="shared" si="3"/>
        <v>119363.93360588665</v>
      </c>
      <c r="N48" s="47">
        <f t="shared" si="3"/>
        <v>121751.21227800439</v>
      </c>
      <c r="O48" s="47">
        <f t="shared" si="3"/>
        <v>124186.23652356448</v>
      </c>
      <c r="P48" s="226">
        <f t="shared" si="3"/>
        <v>126669.96125403578</v>
      </c>
      <c r="Q48" s="71"/>
    </row>
    <row r="49" spans="1:22" x14ac:dyDescent="0.2">
      <c r="A49" s="224" t="s">
        <v>218</v>
      </c>
      <c r="B49" s="186">
        <f>$B$31</f>
        <v>0.02</v>
      </c>
      <c r="C49" s="186">
        <f t="shared" ref="C49:P49" si="4">$B$31</f>
        <v>0.02</v>
      </c>
      <c r="D49" s="186">
        <f t="shared" si="4"/>
        <v>0.02</v>
      </c>
      <c r="E49" s="186">
        <f t="shared" si="4"/>
        <v>0.02</v>
      </c>
      <c r="F49" s="186">
        <f t="shared" si="4"/>
        <v>0.02</v>
      </c>
      <c r="G49" s="186">
        <f t="shared" si="4"/>
        <v>0.02</v>
      </c>
      <c r="H49" s="186">
        <f t="shared" si="4"/>
        <v>0.02</v>
      </c>
      <c r="I49" s="186">
        <f t="shared" si="4"/>
        <v>0.02</v>
      </c>
      <c r="J49" s="186">
        <f t="shared" si="4"/>
        <v>0.02</v>
      </c>
      <c r="K49" s="186">
        <f t="shared" si="4"/>
        <v>0.02</v>
      </c>
      <c r="L49" s="186">
        <f t="shared" si="4"/>
        <v>0.02</v>
      </c>
      <c r="M49" s="186">
        <f t="shared" si="4"/>
        <v>0.02</v>
      </c>
      <c r="N49" s="186">
        <f t="shared" si="4"/>
        <v>0.02</v>
      </c>
      <c r="O49" s="186">
        <f t="shared" si="4"/>
        <v>0.02</v>
      </c>
      <c r="P49" s="227">
        <f t="shared" si="4"/>
        <v>0.02</v>
      </c>
      <c r="Q49" s="71"/>
    </row>
    <row r="50" spans="1:22" x14ac:dyDescent="0.2">
      <c r="A50" s="224" t="s">
        <v>165</v>
      </c>
      <c r="B50" s="147">
        <f>$B$22</f>
        <v>2.9000000000000001E-2</v>
      </c>
      <c r="C50" s="147">
        <f t="shared" ref="C50:P50" si="5">$B$22</f>
        <v>2.9000000000000001E-2</v>
      </c>
      <c r="D50" s="147">
        <f t="shared" si="5"/>
        <v>2.9000000000000001E-2</v>
      </c>
      <c r="E50" s="147">
        <f t="shared" si="5"/>
        <v>2.9000000000000001E-2</v>
      </c>
      <c r="F50" s="147">
        <f t="shared" si="5"/>
        <v>2.9000000000000001E-2</v>
      </c>
      <c r="G50" s="147">
        <f t="shared" si="5"/>
        <v>2.9000000000000001E-2</v>
      </c>
      <c r="H50" s="147">
        <f t="shared" si="5"/>
        <v>2.9000000000000001E-2</v>
      </c>
      <c r="I50" s="147">
        <f t="shared" si="5"/>
        <v>2.9000000000000001E-2</v>
      </c>
      <c r="J50" s="147">
        <f t="shared" si="5"/>
        <v>2.9000000000000001E-2</v>
      </c>
      <c r="K50" s="147">
        <f t="shared" si="5"/>
        <v>2.9000000000000001E-2</v>
      </c>
      <c r="L50" s="147">
        <f t="shared" si="5"/>
        <v>2.9000000000000001E-2</v>
      </c>
      <c r="M50" s="147">
        <f t="shared" si="5"/>
        <v>2.9000000000000001E-2</v>
      </c>
      <c r="N50" s="147">
        <f t="shared" si="5"/>
        <v>2.9000000000000001E-2</v>
      </c>
      <c r="O50" s="147">
        <f t="shared" si="5"/>
        <v>2.9000000000000001E-2</v>
      </c>
      <c r="P50" s="228">
        <f t="shared" si="5"/>
        <v>2.9000000000000001E-2</v>
      </c>
      <c r="Q50" s="71"/>
    </row>
    <row r="51" spans="1:22" x14ac:dyDescent="0.2">
      <c r="A51" s="224" t="s">
        <v>150</v>
      </c>
      <c r="B51" s="239">
        <f>$B$36</f>
        <v>2.5000000000000001E-2</v>
      </c>
      <c r="C51" s="239">
        <f t="shared" ref="C51:P51" si="6">$B$36</f>
        <v>2.5000000000000001E-2</v>
      </c>
      <c r="D51" s="239">
        <f t="shared" si="6"/>
        <v>2.5000000000000001E-2</v>
      </c>
      <c r="E51" s="239">
        <f t="shared" si="6"/>
        <v>2.5000000000000001E-2</v>
      </c>
      <c r="F51" s="239">
        <f t="shared" si="6"/>
        <v>2.5000000000000001E-2</v>
      </c>
      <c r="G51" s="239">
        <f t="shared" si="6"/>
        <v>2.5000000000000001E-2</v>
      </c>
      <c r="H51" s="239">
        <f t="shared" si="6"/>
        <v>2.5000000000000001E-2</v>
      </c>
      <c r="I51" s="239">
        <f t="shared" si="6"/>
        <v>2.5000000000000001E-2</v>
      </c>
      <c r="J51" s="239">
        <f t="shared" si="6"/>
        <v>2.5000000000000001E-2</v>
      </c>
      <c r="K51" s="239">
        <f t="shared" si="6"/>
        <v>2.5000000000000001E-2</v>
      </c>
      <c r="L51" s="239">
        <f t="shared" si="6"/>
        <v>2.5000000000000001E-2</v>
      </c>
      <c r="M51" s="239">
        <f t="shared" si="6"/>
        <v>2.5000000000000001E-2</v>
      </c>
      <c r="N51" s="239">
        <f t="shared" si="6"/>
        <v>2.5000000000000001E-2</v>
      </c>
      <c r="O51" s="239">
        <f t="shared" si="6"/>
        <v>2.5000000000000001E-2</v>
      </c>
      <c r="P51" s="240">
        <f t="shared" si="6"/>
        <v>2.5000000000000001E-2</v>
      </c>
      <c r="Q51" s="71"/>
    </row>
    <row r="52" spans="1:22" s="66" customFormat="1" x14ac:dyDescent="0.2">
      <c r="A52" s="229" t="s">
        <v>151</v>
      </c>
      <c r="B52" s="241">
        <f>$B$23</f>
        <v>0.06</v>
      </c>
      <c r="C52" s="241">
        <f t="shared" ref="C52:V52" si="7">$B$23</f>
        <v>0.06</v>
      </c>
      <c r="D52" s="241">
        <f t="shared" si="7"/>
        <v>0.06</v>
      </c>
      <c r="E52" s="241">
        <f t="shared" si="7"/>
        <v>0.06</v>
      </c>
      <c r="F52" s="241">
        <f t="shared" si="7"/>
        <v>0.06</v>
      </c>
      <c r="G52" s="241">
        <f t="shared" si="7"/>
        <v>0.06</v>
      </c>
      <c r="H52" s="241">
        <f t="shared" si="7"/>
        <v>0.06</v>
      </c>
      <c r="I52" s="241">
        <f t="shared" si="7"/>
        <v>0.06</v>
      </c>
      <c r="J52" s="241">
        <f t="shared" si="7"/>
        <v>0.06</v>
      </c>
      <c r="K52" s="241">
        <f t="shared" si="7"/>
        <v>0.06</v>
      </c>
      <c r="L52" s="241">
        <f t="shared" si="7"/>
        <v>0.06</v>
      </c>
      <c r="M52" s="241">
        <f t="shared" si="7"/>
        <v>0.06</v>
      </c>
      <c r="N52" s="241">
        <f t="shared" si="7"/>
        <v>0.06</v>
      </c>
      <c r="O52" s="241">
        <f t="shared" si="7"/>
        <v>0.06</v>
      </c>
      <c r="P52" s="242">
        <f t="shared" si="7"/>
        <v>0.06</v>
      </c>
      <c r="Q52" s="220">
        <f t="shared" si="7"/>
        <v>0.06</v>
      </c>
      <c r="R52" s="154">
        <f t="shared" si="7"/>
        <v>0.06</v>
      </c>
      <c r="S52" s="154">
        <f t="shared" si="7"/>
        <v>0.06</v>
      </c>
      <c r="T52" s="154">
        <f t="shared" si="7"/>
        <v>0.06</v>
      </c>
      <c r="U52" s="154">
        <f t="shared" si="7"/>
        <v>0.06</v>
      </c>
      <c r="V52" s="154">
        <f t="shared" si="7"/>
        <v>0.06</v>
      </c>
    </row>
    <row r="53" spans="1:22" s="66" customFormat="1" x14ac:dyDescent="0.2">
      <c r="A53" s="229" t="s">
        <v>152</v>
      </c>
      <c r="B53" s="176">
        <f>(52-$B$7)*7</f>
        <v>7</v>
      </c>
      <c r="C53" s="176">
        <f t="shared" ref="C53:P53" si="8">(52-$B$7)*7</f>
        <v>7</v>
      </c>
      <c r="D53" s="176">
        <f t="shared" si="8"/>
        <v>7</v>
      </c>
      <c r="E53" s="176">
        <f t="shared" si="8"/>
        <v>7</v>
      </c>
      <c r="F53" s="176">
        <f t="shared" si="8"/>
        <v>7</v>
      </c>
      <c r="G53" s="176">
        <f t="shared" si="8"/>
        <v>7</v>
      </c>
      <c r="H53" s="176">
        <f t="shared" si="8"/>
        <v>7</v>
      </c>
      <c r="I53" s="176">
        <f t="shared" si="8"/>
        <v>7</v>
      </c>
      <c r="J53" s="176">
        <f t="shared" si="8"/>
        <v>7</v>
      </c>
      <c r="K53" s="176">
        <f t="shared" si="8"/>
        <v>7</v>
      </c>
      <c r="L53" s="176">
        <f t="shared" si="8"/>
        <v>7</v>
      </c>
      <c r="M53" s="176">
        <f t="shared" si="8"/>
        <v>7</v>
      </c>
      <c r="N53" s="176">
        <f t="shared" si="8"/>
        <v>7</v>
      </c>
      <c r="O53" s="176">
        <f t="shared" si="8"/>
        <v>7</v>
      </c>
      <c r="P53" s="230">
        <f t="shared" si="8"/>
        <v>7</v>
      </c>
      <c r="Q53" s="197">
        <v>14</v>
      </c>
      <c r="R53" s="176">
        <v>14</v>
      </c>
      <c r="S53" s="176">
        <v>14</v>
      </c>
      <c r="T53" s="176">
        <v>14</v>
      </c>
      <c r="U53" s="176">
        <v>14</v>
      </c>
      <c r="V53" s="176">
        <v>14</v>
      </c>
    </row>
    <row r="54" spans="1:22" s="66" customFormat="1" x14ac:dyDescent="0.2">
      <c r="A54" s="229" t="s">
        <v>214</v>
      </c>
      <c r="B54" s="243">
        <f>$B$38</f>
        <v>1</v>
      </c>
      <c r="C54" s="243">
        <f t="shared" ref="C54:P54" si="9">$B$38</f>
        <v>1</v>
      </c>
      <c r="D54" s="243">
        <f t="shared" si="9"/>
        <v>1</v>
      </c>
      <c r="E54" s="243">
        <f t="shared" si="9"/>
        <v>1</v>
      </c>
      <c r="F54" s="243">
        <f t="shared" si="9"/>
        <v>1</v>
      </c>
      <c r="G54" s="243">
        <f t="shared" si="9"/>
        <v>1</v>
      </c>
      <c r="H54" s="243">
        <f t="shared" si="9"/>
        <v>1</v>
      </c>
      <c r="I54" s="243">
        <f t="shared" si="9"/>
        <v>1</v>
      </c>
      <c r="J54" s="243">
        <f t="shared" si="9"/>
        <v>1</v>
      </c>
      <c r="K54" s="243">
        <f t="shared" si="9"/>
        <v>1</v>
      </c>
      <c r="L54" s="243">
        <f t="shared" si="9"/>
        <v>1</v>
      </c>
      <c r="M54" s="243">
        <f t="shared" si="9"/>
        <v>1</v>
      </c>
      <c r="N54" s="243">
        <f t="shared" si="9"/>
        <v>1</v>
      </c>
      <c r="O54" s="243">
        <f t="shared" si="9"/>
        <v>1</v>
      </c>
      <c r="P54" s="244">
        <f t="shared" si="9"/>
        <v>1</v>
      </c>
      <c r="Q54" s="173"/>
    </row>
    <row r="55" spans="1:22" x14ac:dyDescent="0.2">
      <c r="A55" s="224" t="s">
        <v>153</v>
      </c>
      <c r="B55" s="245">
        <f>B18</f>
        <v>3.32E-2</v>
      </c>
      <c r="C55" s="245">
        <f>$B$55</f>
        <v>3.32E-2</v>
      </c>
      <c r="D55" s="245">
        <f t="shared" ref="D55:O55" si="10">$B$55</f>
        <v>3.32E-2</v>
      </c>
      <c r="E55" s="245">
        <f t="shared" si="10"/>
        <v>3.32E-2</v>
      </c>
      <c r="F55" s="245">
        <f t="shared" si="10"/>
        <v>3.32E-2</v>
      </c>
      <c r="G55" s="245">
        <f t="shared" si="10"/>
        <v>3.32E-2</v>
      </c>
      <c r="H55" s="245">
        <f t="shared" si="10"/>
        <v>3.32E-2</v>
      </c>
      <c r="I55" s="245">
        <f t="shared" si="10"/>
        <v>3.32E-2</v>
      </c>
      <c r="J55" s="245">
        <f t="shared" si="10"/>
        <v>3.32E-2</v>
      </c>
      <c r="K55" s="245">
        <f t="shared" si="10"/>
        <v>3.32E-2</v>
      </c>
      <c r="L55" s="245">
        <f t="shared" si="10"/>
        <v>3.32E-2</v>
      </c>
      <c r="M55" s="245">
        <f t="shared" si="10"/>
        <v>3.32E-2</v>
      </c>
      <c r="N55" s="245">
        <f t="shared" si="10"/>
        <v>3.32E-2</v>
      </c>
      <c r="O55" s="245">
        <f t="shared" si="10"/>
        <v>3.32E-2</v>
      </c>
      <c r="P55" s="246">
        <f>$B$55</f>
        <v>3.32E-2</v>
      </c>
      <c r="Q55" s="71"/>
    </row>
    <row r="56" spans="1:22" x14ac:dyDescent="0.2">
      <c r="A56" s="231" t="s">
        <v>220</v>
      </c>
      <c r="B56" s="153">
        <f>$B$39</f>
        <v>0.9</v>
      </c>
      <c r="C56" s="153">
        <f t="shared" ref="C56:P56" si="11">$B$39</f>
        <v>0.9</v>
      </c>
      <c r="D56" s="153">
        <f t="shared" si="11"/>
        <v>0.9</v>
      </c>
      <c r="E56" s="153">
        <f t="shared" si="11"/>
        <v>0.9</v>
      </c>
      <c r="F56" s="153">
        <f t="shared" si="11"/>
        <v>0.9</v>
      </c>
      <c r="G56" s="153">
        <f t="shared" si="11"/>
        <v>0.9</v>
      </c>
      <c r="H56" s="153">
        <f t="shared" si="11"/>
        <v>0.9</v>
      </c>
      <c r="I56" s="153">
        <f t="shared" si="11"/>
        <v>0.9</v>
      </c>
      <c r="J56" s="153">
        <f t="shared" si="11"/>
        <v>0.9</v>
      </c>
      <c r="K56" s="153">
        <f t="shared" si="11"/>
        <v>0.9</v>
      </c>
      <c r="L56" s="153">
        <f t="shared" si="11"/>
        <v>0.9</v>
      </c>
      <c r="M56" s="153">
        <f t="shared" si="11"/>
        <v>0.9</v>
      </c>
      <c r="N56" s="153">
        <f t="shared" si="11"/>
        <v>0.9</v>
      </c>
      <c r="O56" s="153">
        <f t="shared" si="11"/>
        <v>0.9</v>
      </c>
      <c r="P56" s="232">
        <f t="shared" si="11"/>
        <v>0.9</v>
      </c>
      <c r="Q56" s="71"/>
    </row>
    <row r="57" spans="1:22" x14ac:dyDescent="0.2">
      <c r="A57" s="224" t="s">
        <v>170</v>
      </c>
      <c r="B57" s="138" t="s">
        <v>169</v>
      </c>
      <c r="C57" s="138" t="s">
        <v>169</v>
      </c>
      <c r="D57" s="138" t="s">
        <v>169</v>
      </c>
      <c r="E57" s="138" t="s">
        <v>169</v>
      </c>
      <c r="F57" s="138" t="s">
        <v>169</v>
      </c>
      <c r="G57" s="138" t="s">
        <v>169</v>
      </c>
      <c r="H57" s="138" t="s">
        <v>169</v>
      </c>
      <c r="I57" s="138" t="s">
        <v>169</v>
      </c>
      <c r="J57" s="138" t="s">
        <v>169</v>
      </c>
      <c r="K57" s="138" t="s">
        <v>169</v>
      </c>
      <c r="L57" s="138" t="s">
        <v>169</v>
      </c>
      <c r="M57" s="138" t="s">
        <v>169</v>
      </c>
      <c r="N57" s="138" t="s">
        <v>169</v>
      </c>
      <c r="O57" s="138" t="s">
        <v>169</v>
      </c>
      <c r="P57" s="225" t="s">
        <v>169</v>
      </c>
      <c r="Q57" s="71"/>
    </row>
    <row r="58" spans="1:22" x14ac:dyDescent="0.2">
      <c r="A58" s="224" t="s">
        <v>173</v>
      </c>
      <c r="B58" s="147">
        <f>$K$17</f>
        <v>7.0000000000000007E-2</v>
      </c>
      <c r="C58" s="147">
        <f t="shared" ref="C58:P58" si="12">$K$17</f>
        <v>7.0000000000000007E-2</v>
      </c>
      <c r="D58" s="147">
        <f t="shared" si="12"/>
        <v>7.0000000000000007E-2</v>
      </c>
      <c r="E58" s="147">
        <f t="shared" si="12"/>
        <v>7.0000000000000007E-2</v>
      </c>
      <c r="F58" s="147">
        <f t="shared" si="12"/>
        <v>7.0000000000000007E-2</v>
      </c>
      <c r="G58" s="147">
        <f t="shared" si="12"/>
        <v>7.0000000000000007E-2</v>
      </c>
      <c r="H58" s="147">
        <f t="shared" si="12"/>
        <v>7.0000000000000007E-2</v>
      </c>
      <c r="I58" s="147">
        <f t="shared" si="12"/>
        <v>7.0000000000000007E-2</v>
      </c>
      <c r="J58" s="147">
        <f t="shared" si="12"/>
        <v>7.0000000000000007E-2</v>
      </c>
      <c r="K58" s="147">
        <f t="shared" si="12"/>
        <v>7.0000000000000007E-2</v>
      </c>
      <c r="L58" s="147">
        <f t="shared" si="12"/>
        <v>7.0000000000000007E-2</v>
      </c>
      <c r="M58" s="147">
        <f t="shared" si="12"/>
        <v>7.0000000000000007E-2</v>
      </c>
      <c r="N58" s="147">
        <f t="shared" si="12"/>
        <v>7.0000000000000007E-2</v>
      </c>
      <c r="O58" s="147">
        <f t="shared" si="12"/>
        <v>7.0000000000000007E-2</v>
      </c>
      <c r="P58" s="228">
        <f t="shared" si="12"/>
        <v>7.0000000000000007E-2</v>
      </c>
      <c r="Q58" s="71"/>
    </row>
    <row r="59" spans="1:22" x14ac:dyDescent="0.2">
      <c r="A59" s="224" t="s">
        <v>230</v>
      </c>
      <c r="B59" s="147">
        <v>0.03</v>
      </c>
      <c r="C59" s="193">
        <f>B59*(1+B51)</f>
        <v>3.0749999999999996E-2</v>
      </c>
      <c r="D59" s="193">
        <f t="shared" ref="D59:P59" si="13">C59*(1+C51)</f>
        <v>3.1518749999999991E-2</v>
      </c>
      <c r="E59" s="193">
        <f t="shared" si="13"/>
        <v>3.2306718749999991E-2</v>
      </c>
      <c r="F59" s="193">
        <f t="shared" si="13"/>
        <v>3.3114386718749986E-2</v>
      </c>
      <c r="G59" s="193">
        <f t="shared" si="13"/>
        <v>3.3942246386718736E-2</v>
      </c>
      <c r="H59" s="193">
        <f t="shared" si="13"/>
        <v>3.4790802546386702E-2</v>
      </c>
      <c r="I59" s="193">
        <f t="shared" si="13"/>
        <v>3.5660572610046369E-2</v>
      </c>
      <c r="J59" s="193">
        <f t="shared" si="13"/>
        <v>3.6552086925297524E-2</v>
      </c>
      <c r="K59" s="193">
        <f t="shared" si="13"/>
        <v>3.7465889098429961E-2</v>
      </c>
      <c r="L59" s="193">
        <f t="shared" si="13"/>
        <v>3.8402536325890704E-2</v>
      </c>
      <c r="M59" s="193">
        <f t="shared" si="13"/>
        <v>3.9362599734037967E-2</v>
      </c>
      <c r="N59" s="193">
        <f t="shared" si="13"/>
        <v>4.034666472738891E-2</v>
      </c>
      <c r="O59" s="193">
        <f t="shared" si="13"/>
        <v>4.1355331345573627E-2</v>
      </c>
      <c r="P59" s="233">
        <f t="shared" si="13"/>
        <v>4.2389214629212961E-2</v>
      </c>
      <c r="Q59" s="71"/>
    </row>
    <row r="60" spans="1:22" x14ac:dyDescent="0.2">
      <c r="A60" s="224" t="s">
        <v>238</v>
      </c>
      <c r="B60" s="47">
        <v>3000</v>
      </c>
      <c r="C60" s="47">
        <f>B60*(1+B51)</f>
        <v>3074.9999999999995</v>
      </c>
      <c r="D60" s="47">
        <f t="shared" ref="D60:P60" si="14">C60*(1+C51)</f>
        <v>3151.8749999999991</v>
      </c>
      <c r="E60" s="47">
        <f t="shared" si="14"/>
        <v>3230.6718749999986</v>
      </c>
      <c r="F60" s="47">
        <f t="shared" si="14"/>
        <v>3311.4386718749984</v>
      </c>
      <c r="G60" s="47">
        <f t="shared" si="14"/>
        <v>3394.224638671873</v>
      </c>
      <c r="H60" s="47">
        <f t="shared" si="14"/>
        <v>3479.0802546386694</v>
      </c>
      <c r="I60" s="47">
        <f t="shared" si="14"/>
        <v>3566.0572610046361</v>
      </c>
      <c r="J60" s="47">
        <f t="shared" si="14"/>
        <v>3655.2086925297517</v>
      </c>
      <c r="K60" s="47">
        <f t="shared" si="14"/>
        <v>3746.5889098429952</v>
      </c>
      <c r="L60" s="47">
        <f t="shared" si="14"/>
        <v>3840.2536325890696</v>
      </c>
      <c r="M60" s="47">
        <f t="shared" si="14"/>
        <v>3936.2599734037958</v>
      </c>
      <c r="N60" s="47">
        <f t="shared" si="14"/>
        <v>4034.6664727388902</v>
      </c>
      <c r="O60" s="47">
        <f t="shared" si="14"/>
        <v>4135.5331345573622</v>
      </c>
      <c r="P60" s="226">
        <f t="shared" si="14"/>
        <v>4238.9214629212956</v>
      </c>
      <c r="Q60" s="71"/>
    </row>
    <row r="61" spans="1:22" x14ac:dyDescent="0.2">
      <c r="A61" s="234" t="s">
        <v>211</v>
      </c>
      <c r="B61" s="191">
        <f>IF(('Data Property 2'!C161-$B$32)&gt;16400,0,$B$66+$B$67)</f>
        <v>3375</v>
      </c>
      <c r="C61" s="191">
        <f>IF(('Data Property 2'!D161-$B$32)&gt;16400,0,$B$66+$B$67)</f>
        <v>3375</v>
      </c>
      <c r="D61" s="191">
        <f>IF(('Data Property 2'!E161-$B$32)&gt;16400,0,$B$66+$B$67)</f>
        <v>3375</v>
      </c>
      <c r="E61" s="191">
        <f>IF(('Data Property 2'!F161-$B$32)&gt;16400,0,$B$66+$B$67)</f>
        <v>3375</v>
      </c>
      <c r="F61" s="191">
        <f>IF(('Data Property 2'!G161-$B$32)&gt;16400,0,$B$66+$B$67)</f>
        <v>3375</v>
      </c>
      <c r="G61" s="191">
        <f>IF(('Data Property 2'!H161-$B$32)&gt;16400,0,$B$66+$B$67)</f>
        <v>3375</v>
      </c>
      <c r="H61" s="191">
        <f>IF(('Data Property 2'!I161-$B$32)&gt;16400,0,$B$66+$B$67)</f>
        <v>3375</v>
      </c>
      <c r="I61" s="191">
        <f>IF(('Data Property 2'!J161-$B$32)&gt;16400,0,$B$66+$B$67)</f>
        <v>3375</v>
      </c>
      <c r="J61" s="191">
        <f>IF(('Data Property 2'!K161-$B$32)&gt;16400,0,$B$66+$B$67)</f>
        <v>3375</v>
      </c>
      <c r="K61" s="191">
        <f>IF(('Data Property 2'!L161-$B$32)&gt;16400,0,$B$66+$B$67)</f>
        <v>3375</v>
      </c>
      <c r="L61" s="191">
        <f>IF(('Data Property 2'!M161-$B$32)&gt;16400,0,$B$66+$B$67)</f>
        <v>3375</v>
      </c>
      <c r="M61" s="191">
        <f>IF(('Data Property 2'!N161-$B$32)&gt;16400,0,$B$66+$B$67)</f>
        <v>3375</v>
      </c>
      <c r="N61" s="191">
        <f>IF(('Data Property 2'!O161-$B$32)&gt;16400,0,$B$66+$B$67)</f>
        <v>3375</v>
      </c>
      <c r="O61" s="191">
        <f>IF(('Data Property 2'!P161-$B$32)&gt;16400,0,$B$66+$B$67)</f>
        <v>3375</v>
      </c>
      <c r="P61" s="235">
        <f>IF(('Data Property 2'!Q161-$B$32)&gt;16400,0,$B$66+$B$67)</f>
        <v>3375</v>
      </c>
      <c r="Q61" s="71"/>
    </row>
    <row r="62" spans="1:22" x14ac:dyDescent="0.2">
      <c r="A62" s="234" t="s">
        <v>225</v>
      </c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235"/>
      <c r="Q62" s="71"/>
    </row>
    <row r="63" spans="1:22" ht="13.5" thickBot="1" x14ac:dyDescent="0.25">
      <c r="A63" s="236" t="s">
        <v>239</v>
      </c>
      <c r="B63" s="237">
        <v>50</v>
      </c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8"/>
      <c r="Q63" s="198"/>
    </row>
    <row r="64" spans="1:22" hidden="1" x14ac:dyDescent="0.2">
      <c r="A64" s="199" t="s">
        <v>123</v>
      </c>
      <c r="B64" s="60">
        <v>52.25</v>
      </c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</row>
    <row r="65" spans="2:2" hidden="1" x14ac:dyDescent="0.2"/>
    <row r="66" spans="2:2" hidden="1" x14ac:dyDescent="0.2">
      <c r="B66" s="46">
        <f>IF(B32&gt;'Tax Table'!F2,('Input Property 2'!B3*'Input Property 2'!B34)*0.025,0)</f>
        <v>3375</v>
      </c>
    </row>
    <row r="67" spans="2:2" hidden="1" x14ac:dyDescent="0.2">
      <c r="B67" s="46" t="b">
        <f>IF('Input Property 2'!B32&gt;'Tax Table'!F1,IF('Input Property 2'!B32&lt;'Tax Table'!F2,('Input Property 2'!B3*'Input Property 2'!B34)*0.04),0)</f>
        <v>0</v>
      </c>
    </row>
  </sheetData>
  <mergeCells count="3">
    <mergeCell ref="E16:F16"/>
    <mergeCell ref="D17:E17"/>
    <mergeCell ref="I17:J17"/>
  </mergeCells>
  <dataValidations count="3">
    <dataValidation type="list" showInputMessage="1" showErrorMessage="1" sqref="G18:G31" xr:uid="{00000000-0002-0000-0200-000000000000}">
      <formula1>$W$3:$W$7</formula1>
    </dataValidation>
    <dataValidation type="list" showInputMessage="1" showErrorMessage="1" sqref="G32" xr:uid="{00000000-0002-0000-0200-000001000000}">
      <formula1>$Y$11:$Y$16</formula1>
    </dataValidation>
    <dataValidation type="list" allowBlank="1" showInputMessage="1" showErrorMessage="1" sqref="B2" xr:uid="{00000000-0002-0000-0200-000002000000}">
      <formula1>$Y$3:$Y$10</formula1>
    </dataValidation>
  </dataValidations>
  <pageMargins left="0.75" right="0.75" top="1" bottom="1" header="0.5" footer="0.5"/>
  <pageSetup paperSize="9" scale="70" orientation="landscape" horizontalDpi="300" verticalDpi="300" r:id="rId1"/>
  <headerFooter alignWithMargins="0"/>
  <rowBreaks count="1" manualBreakCount="1">
    <brk id="63" max="16383" man="1"/>
  </rowBreaks>
  <colBreaks count="1" manualBreakCount="1">
    <brk id="16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37"/>
  <sheetViews>
    <sheetView topLeftCell="A199" zoomScale="90" zoomScaleNormal="90" workbookViewId="0">
      <selection activeCell="C235" sqref="C235"/>
    </sheetView>
  </sheetViews>
  <sheetFormatPr defaultColWidth="9.140625" defaultRowHeight="12.75" outlineLevelRow="1" x14ac:dyDescent="0.2"/>
  <cols>
    <col min="1" max="1" width="23.85546875" style="46" customWidth="1"/>
    <col min="2" max="2" width="13.85546875" style="46" customWidth="1"/>
    <col min="3" max="3" width="12.140625" style="341" bestFit="1" customWidth="1"/>
    <col min="4" max="17" width="12.140625" style="46" bestFit="1" customWidth="1"/>
    <col min="18" max="16384" width="9.140625" style="46"/>
  </cols>
  <sheetData>
    <row r="1" spans="1:17" x14ac:dyDescent="0.2">
      <c r="A1" s="76" t="s">
        <v>248</v>
      </c>
      <c r="B1" s="76"/>
      <c r="C1" s="282">
        <v>1</v>
      </c>
      <c r="D1" s="258">
        <v>2</v>
      </c>
      <c r="E1" s="258">
        <v>3</v>
      </c>
      <c r="F1" s="258">
        <v>4</v>
      </c>
      <c r="G1" s="258">
        <v>5</v>
      </c>
      <c r="H1" s="258">
        <v>6</v>
      </c>
      <c r="I1" s="258">
        <v>7</v>
      </c>
      <c r="J1" s="258">
        <v>8</v>
      </c>
      <c r="K1" s="258">
        <v>9</v>
      </c>
      <c r="L1" s="258">
        <v>10</v>
      </c>
      <c r="M1" s="258">
        <v>11</v>
      </c>
      <c r="N1" s="258">
        <v>12</v>
      </c>
      <c r="O1" s="258">
        <v>13</v>
      </c>
      <c r="P1" s="258">
        <v>14</v>
      </c>
      <c r="Q1" s="256">
        <v>15</v>
      </c>
    </row>
    <row r="2" spans="1:17" ht="15.75" x14ac:dyDescent="0.25">
      <c r="A2" s="120" t="s">
        <v>247</v>
      </c>
      <c r="B2" s="120"/>
      <c r="C2" s="283">
        <f>'Data Property 2'!C161</f>
        <v>44012</v>
      </c>
      <c r="D2" s="259">
        <f>'Data Property 2'!D161</f>
        <v>44377</v>
      </c>
      <c r="E2" s="259">
        <f>'Data Property 2'!E161</f>
        <v>44742</v>
      </c>
      <c r="F2" s="259">
        <f>'Data Property 2'!F161</f>
        <v>45107</v>
      </c>
      <c r="G2" s="259">
        <f>'Data Property 2'!G161</f>
        <v>45473</v>
      </c>
      <c r="H2" s="259">
        <f>'Data Property 2'!H161</f>
        <v>45838</v>
      </c>
      <c r="I2" s="259">
        <f>'Data Property 2'!I161</f>
        <v>46203</v>
      </c>
      <c r="J2" s="259">
        <f>'Data Property 2'!J161</f>
        <v>46568</v>
      </c>
      <c r="K2" s="259">
        <f>'Data Property 2'!K161</f>
        <v>46934</v>
      </c>
      <c r="L2" s="259">
        <f>'Data Property 2'!L161</f>
        <v>47299</v>
      </c>
      <c r="M2" s="259">
        <f>'Data Property 2'!M161</f>
        <v>47664</v>
      </c>
      <c r="N2" s="259">
        <f>'Data Property 2'!N161</f>
        <v>48029</v>
      </c>
      <c r="O2" s="259">
        <f>'Data Property 2'!O161</f>
        <v>48395</v>
      </c>
      <c r="P2" s="259">
        <f>'Data Property 2'!P161</f>
        <v>48760</v>
      </c>
      <c r="Q2" s="257">
        <f>'Data Property 2'!Q161</f>
        <v>49125</v>
      </c>
    </row>
    <row r="3" spans="1:17" x14ac:dyDescent="0.2">
      <c r="A3" s="73" t="s">
        <v>120</v>
      </c>
      <c r="B3" s="342"/>
      <c r="C3" s="28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</row>
    <row r="4" spans="1:17" x14ac:dyDescent="0.2">
      <c r="A4" s="83" t="str">
        <f>'Data Property 2'!$A$167</f>
        <v>Interest Loan 1</v>
      </c>
      <c r="B4" s="60"/>
      <c r="C4" s="285">
        <f>-'Data Property 2'!C167</f>
        <v>-1922.7984657534244</v>
      </c>
      <c r="D4" s="84">
        <f>-'Data Property 2'!D167</f>
        <v>-11697.023999999999</v>
      </c>
      <c r="E4" s="84">
        <f>-'Data Property 2'!E167</f>
        <v>-11697.023999999999</v>
      </c>
      <c r="F4" s="84">
        <f>-'Data Property 2'!F167</f>
        <v>-11697.023999999999</v>
      </c>
      <c r="G4" s="84">
        <f>-'Data Property 2'!G167</f>
        <v>-11729.070641095892</v>
      </c>
      <c r="H4" s="84">
        <f>-'Data Property 2'!H167</f>
        <v>-11697.023999999999</v>
      </c>
      <c r="I4" s="84">
        <f>-'Data Property 2'!I167</f>
        <v>-11697.023999999999</v>
      </c>
      <c r="J4" s="84">
        <f>-'Data Property 2'!J167</f>
        <v>-11697.023999999999</v>
      </c>
      <c r="K4" s="84">
        <f>-'Data Property 2'!K167</f>
        <v>-11729.070641095892</v>
      </c>
      <c r="L4" s="84">
        <f>-'Data Property 2'!L167</f>
        <v>-11697.023999999999</v>
      </c>
      <c r="M4" s="84">
        <f>-'Data Property 2'!M167</f>
        <v>-11697.023999999999</v>
      </c>
      <c r="N4" s="84">
        <f>-'Data Property 2'!N167</f>
        <v>-11697.023999999999</v>
      </c>
      <c r="O4" s="84">
        <f>-'Data Property 2'!O167</f>
        <v>-11729.070641095892</v>
      </c>
      <c r="P4" s="84">
        <f>-'Data Property 2'!P167</f>
        <v>-11697.023999999999</v>
      </c>
      <c r="Q4" s="84">
        <f>-'Data Property 2'!Q167</f>
        <v>-11697.023999999999</v>
      </c>
    </row>
    <row r="5" spans="1:17" x14ac:dyDescent="0.2">
      <c r="A5" s="85" t="str">
        <f>'Data Property 2'!$A$168</f>
        <v>Interest Loan 2</v>
      </c>
      <c r="B5" s="60"/>
      <c r="C5" s="285">
        <f>-'Data Property 2'!C168</f>
        <v>0</v>
      </c>
      <c r="D5" s="84">
        <f>-'Data Property 2'!D168</f>
        <v>0</v>
      </c>
      <c r="E5" s="84">
        <f>-'Data Property 2'!E168</f>
        <v>0</v>
      </c>
      <c r="F5" s="84">
        <f>-'Data Property 2'!F168</f>
        <v>0</v>
      </c>
      <c r="G5" s="84">
        <f>-'Data Property 2'!G168</f>
        <v>0</v>
      </c>
      <c r="H5" s="84">
        <f>-'Data Property 2'!H168</f>
        <v>0</v>
      </c>
      <c r="I5" s="84">
        <f>-'Data Property 2'!I168</f>
        <v>0</v>
      </c>
      <c r="J5" s="84">
        <f>-'Data Property 2'!J168</f>
        <v>0</v>
      </c>
      <c r="K5" s="84">
        <f>-'Data Property 2'!K168</f>
        <v>0</v>
      </c>
      <c r="L5" s="84">
        <f>-'Data Property 2'!L168</f>
        <v>0</v>
      </c>
      <c r="M5" s="84">
        <f>-'Data Property 2'!M168</f>
        <v>0</v>
      </c>
      <c r="N5" s="84">
        <f>-'Data Property 2'!N168</f>
        <v>0</v>
      </c>
      <c r="O5" s="84">
        <f>-'Data Property 2'!O168</f>
        <v>0</v>
      </c>
      <c r="P5" s="84">
        <f>-'Data Property 2'!P168</f>
        <v>0</v>
      </c>
      <c r="Q5" s="84">
        <f>-'Data Property 2'!Q168</f>
        <v>0</v>
      </c>
    </row>
    <row r="6" spans="1:17" hidden="1" outlineLevel="1" x14ac:dyDescent="0.2">
      <c r="A6" s="85" t="str">
        <f>'Data Property 2'!$A$169</f>
        <v>Property Management</v>
      </c>
      <c r="B6" s="60"/>
      <c r="C6" s="285">
        <f>-'Data Property 2'!C169</f>
        <v>-201.4</v>
      </c>
      <c r="D6" s="84">
        <f>-'Data Property 2'!D169</f>
        <v>-1399.8516000000002</v>
      </c>
      <c r="E6" s="84">
        <f>-'Data Property 2'!E169</f>
        <v>-1440.4472963999999</v>
      </c>
      <c r="F6" s="84">
        <f>-'Data Property 2'!F169</f>
        <v>-1482.2202679955999</v>
      </c>
      <c r="G6" s="84">
        <f>-'Data Property 2'!G169</f>
        <v>-1529.46500396794</v>
      </c>
      <c r="H6" s="84">
        <f>-'Data Property 2'!H169</f>
        <v>-1569.4355907847287</v>
      </c>
      <c r="I6" s="84">
        <f>-'Data Property 2'!I169</f>
        <v>-1614.9492229174857</v>
      </c>
      <c r="J6" s="84">
        <f>-'Data Property 2'!J169</f>
        <v>-1661.7827503820924</v>
      </c>
      <c r="K6" s="84">
        <f>-'Data Property 2'!K169</f>
        <v>-1714.750915087707</v>
      </c>
      <c r="L6" s="84">
        <f>-'Data Property 2'!L169</f>
        <v>-1759.5637091973251</v>
      </c>
      <c r="M6" s="84">
        <f>-'Data Property 2'!M169</f>
        <v>-1810.5910567640474</v>
      </c>
      <c r="N6" s="84">
        <f>-'Data Property 2'!N169</f>
        <v>-1863.0981974102044</v>
      </c>
      <c r="O6" s="84">
        <f>-'Data Property 2'!O169</f>
        <v>-1922.4831514064272</v>
      </c>
      <c r="P6" s="84">
        <f>-'Data Property 2'!P169</f>
        <v>-1972.7247584440181</v>
      </c>
      <c r="Q6" s="84">
        <f>-'Data Property 2'!Q169</f>
        <v>-2029.9337764388943</v>
      </c>
    </row>
    <row r="7" spans="1:17" hidden="1" outlineLevel="1" x14ac:dyDescent="0.2">
      <c r="A7" s="85" t="str">
        <f>'Data Property 2'!$A$170</f>
        <v>Letting Fee</v>
      </c>
      <c r="B7" s="60"/>
      <c r="C7" s="285">
        <f>-'Data Property 2'!C170</f>
        <v>-380</v>
      </c>
      <c r="D7" s="84">
        <f>-'Data Property 2'!D170</f>
        <v>-391.02</v>
      </c>
      <c r="E7" s="84">
        <f>-'Data Property 2'!E170</f>
        <v>-402.35957999999994</v>
      </c>
      <c r="F7" s="84">
        <f>-'Data Property 2'!F170</f>
        <v>-414.02800781999991</v>
      </c>
      <c r="G7" s="84">
        <f>-'Data Property 2'!G170</f>
        <v>-426.03482004677988</v>
      </c>
      <c r="H7" s="84">
        <f>-'Data Property 2'!H170</f>
        <v>-438.38982982813644</v>
      </c>
      <c r="I7" s="84">
        <f>-'Data Property 2'!I170</f>
        <v>-451.10313489315234</v>
      </c>
      <c r="J7" s="84">
        <f>-'Data Property 2'!J170</f>
        <v>-464.1851258050537</v>
      </c>
      <c r="K7" s="84">
        <f>-'Data Property 2'!K170</f>
        <v>-477.64649445340024</v>
      </c>
      <c r="L7" s="84">
        <f>-'Data Property 2'!L170</f>
        <v>-491.49824279254881</v>
      </c>
      <c r="M7" s="84">
        <f>-'Data Property 2'!M170</f>
        <v>-505.75169183353267</v>
      </c>
      <c r="N7" s="84">
        <f>-'Data Property 2'!N170</f>
        <v>-520.41849089670507</v>
      </c>
      <c r="O7" s="84">
        <f>-'Data Property 2'!O170</f>
        <v>-535.51062713270949</v>
      </c>
      <c r="P7" s="84">
        <f>-'Data Property 2'!P170</f>
        <v>-551.04043531955801</v>
      </c>
      <c r="Q7" s="84">
        <f>-'Data Property 2'!Q170</f>
        <v>-567.0206079438251</v>
      </c>
    </row>
    <row r="8" spans="1:17" hidden="1" outlineLevel="1" x14ac:dyDescent="0.2">
      <c r="A8" s="85" t="str">
        <f>'Data Property 2'!$A$171</f>
        <v>Insurance</v>
      </c>
      <c r="B8" s="60"/>
      <c r="C8" s="285">
        <f>-'Data Property 2'!C171</f>
        <v>-197.26027397260273</v>
      </c>
      <c r="D8" s="84">
        <f>-'Data Property 2'!D171</f>
        <v>-1230</v>
      </c>
      <c r="E8" s="84">
        <f>-'Data Property 2'!E171</f>
        <v>-1260.75</v>
      </c>
      <c r="F8" s="84">
        <f>-'Data Property 2'!F171</f>
        <v>-1292.26875</v>
      </c>
      <c r="G8" s="84">
        <f>-'Data Property 2'!G171</f>
        <v>-1324.5754687499998</v>
      </c>
      <c r="H8" s="84">
        <f>-'Data Property 2'!H171</f>
        <v>-1357.6898554687498</v>
      </c>
      <c r="I8" s="84">
        <f>-'Data Property 2'!I171</f>
        <v>-1391.6321018554684</v>
      </c>
      <c r="J8" s="84">
        <f>-'Data Property 2'!J171</f>
        <v>-1426.422904401855</v>
      </c>
      <c r="K8" s="84">
        <f>-'Data Property 2'!K171</f>
        <v>-1462.0834770119013</v>
      </c>
      <c r="L8" s="84">
        <f>-'Data Property 2'!L171</f>
        <v>-1498.6355639371986</v>
      </c>
      <c r="M8" s="84">
        <f>-'Data Property 2'!M171</f>
        <v>-1536.1014530356285</v>
      </c>
      <c r="N8" s="84">
        <f>-'Data Property 2'!N171</f>
        <v>-1574.5039893615192</v>
      </c>
      <c r="O8" s="84">
        <f>-'Data Property 2'!O171</f>
        <v>-1613.8665890955569</v>
      </c>
      <c r="P8" s="84">
        <f>-'Data Property 2'!P171</f>
        <v>-1654.2132538229457</v>
      </c>
      <c r="Q8" s="84">
        <f>-'Data Property 2'!Q171</f>
        <v>-1695.5685851685191</v>
      </c>
    </row>
    <row r="9" spans="1:17" hidden="1" outlineLevel="1" x14ac:dyDescent="0.2">
      <c r="A9" s="85" t="str">
        <f>'Data Property 2'!$A$172</f>
        <v>Maintenance</v>
      </c>
      <c r="B9" s="60"/>
      <c r="C9" s="285">
        <f>-'Data Property 2'!C172</f>
        <v>-164.38356164383561</v>
      </c>
      <c r="D9" s="84">
        <f>-'Data Property 2'!D172</f>
        <v>-1025</v>
      </c>
      <c r="E9" s="84">
        <f>-'Data Property 2'!E172</f>
        <v>-1050.625</v>
      </c>
      <c r="F9" s="84">
        <f>-'Data Property 2'!F172</f>
        <v>-1076.890625</v>
      </c>
      <c r="G9" s="84">
        <f>-'Data Property 2'!G172</f>
        <v>-1103.8128906249999</v>
      </c>
      <c r="H9" s="84">
        <f>-'Data Property 2'!H172</f>
        <v>-1131.4082128906248</v>
      </c>
      <c r="I9" s="84">
        <f>-'Data Property 2'!I172</f>
        <v>-1159.6934182128903</v>
      </c>
      <c r="J9" s="84">
        <f>-'Data Property 2'!J172</f>
        <v>-1188.6857536682123</v>
      </c>
      <c r="K9" s="84">
        <f>-'Data Property 2'!K172</f>
        <v>-1218.4028975099175</v>
      </c>
      <c r="L9" s="84">
        <f>-'Data Property 2'!L172</f>
        <v>-1248.8629699476653</v>
      </c>
      <c r="M9" s="84">
        <f>-'Data Property 2'!M172</f>
        <v>-1280.0845441963568</v>
      </c>
      <c r="N9" s="84">
        <f>-'Data Property 2'!N172</f>
        <v>-1312.0866578012656</v>
      </c>
      <c r="O9" s="84">
        <f>-'Data Property 2'!O172</f>
        <v>-1344.8888242462972</v>
      </c>
      <c r="P9" s="84">
        <f>-'Data Property 2'!P172</f>
        <v>-1378.5110448524545</v>
      </c>
      <c r="Q9" s="84">
        <f>-'Data Property 2'!Q172</f>
        <v>-1412.9738209737657</v>
      </c>
    </row>
    <row r="10" spans="1:17" hidden="1" outlineLevel="1" x14ac:dyDescent="0.2">
      <c r="A10" s="85" t="str">
        <f>'Data Property 2'!$A$173</f>
        <v>Strata</v>
      </c>
      <c r="B10" s="60"/>
      <c r="C10" s="285">
        <f>-'Data Property 2'!C173</f>
        <v>0</v>
      </c>
      <c r="D10" s="84">
        <f>-'Data Property 2'!D173</f>
        <v>0</v>
      </c>
      <c r="E10" s="84">
        <f>-'Data Property 2'!E173</f>
        <v>0</v>
      </c>
      <c r="F10" s="84">
        <f>-'Data Property 2'!F173</f>
        <v>0</v>
      </c>
      <c r="G10" s="84">
        <f>-'Data Property 2'!G173</f>
        <v>0</v>
      </c>
      <c r="H10" s="84">
        <f>-'Data Property 2'!H173</f>
        <v>0</v>
      </c>
      <c r="I10" s="84">
        <f>-'Data Property 2'!I173</f>
        <v>0</v>
      </c>
      <c r="J10" s="84">
        <f>-'Data Property 2'!J173</f>
        <v>0</v>
      </c>
      <c r="K10" s="84">
        <f>-'Data Property 2'!K173</f>
        <v>0</v>
      </c>
      <c r="L10" s="84">
        <f>-'Data Property 2'!L173</f>
        <v>0</v>
      </c>
      <c r="M10" s="84">
        <f>-'Data Property 2'!M173</f>
        <v>0</v>
      </c>
      <c r="N10" s="84">
        <f>-'Data Property 2'!N173</f>
        <v>0</v>
      </c>
      <c r="O10" s="84">
        <f>-'Data Property 2'!O173</f>
        <v>0</v>
      </c>
      <c r="P10" s="84">
        <f>-'Data Property 2'!P173</f>
        <v>0</v>
      </c>
      <c r="Q10" s="84">
        <f>-'Data Property 2'!Q173</f>
        <v>0</v>
      </c>
    </row>
    <row r="11" spans="1:17" hidden="1" outlineLevel="1" x14ac:dyDescent="0.2">
      <c r="A11" s="85" t="str">
        <f>'Data Property 2'!$A$174</f>
        <v>Water Charges</v>
      </c>
      <c r="B11" s="60"/>
      <c r="C11" s="285">
        <f>-'Data Property 2'!C174</f>
        <v>-429.45205479452051</v>
      </c>
      <c r="D11" s="84">
        <f>-'Data Property 2'!D174</f>
        <v>-2677.8125</v>
      </c>
      <c r="E11" s="84">
        <f>-'Data Property 2'!E174</f>
        <v>-2744.7578125</v>
      </c>
      <c r="F11" s="84">
        <f>-'Data Property 2'!F174</f>
        <v>-2813.3767578124998</v>
      </c>
      <c r="G11" s="84">
        <f>-'Data Property 2'!G174</f>
        <v>-2883.7111767578122</v>
      </c>
      <c r="H11" s="84">
        <f>-'Data Property 2'!H174</f>
        <v>-2955.8039561767573</v>
      </c>
      <c r="I11" s="84">
        <f>-'Data Property 2'!I174</f>
        <v>-3029.6990550811761</v>
      </c>
      <c r="J11" s="84">
        <f>-'Data Property 2'!J174</f>
        <v>-3105.4415314582056</v>
      </c>
      <c r="K11" s="84">
        <f>-'Data Property 2'!K174</f>
        <v>-3183.0775697446607</v>
      </c>
      <c r="L11" s="84">
        <f>-'Data Property 2'!L174</f>
        <v>-3262.654508988277</v>
      </c>
      <c r="M11" s="84">
        <f>-'Data Property 2'!M174</f>
        <v>-3344.2208717129838</v>
      </c>
      <c r="N11" s="84">
        <f>-'Data Property 2'!N174</f>
        <v>-3427.8263935058085</v>
      </c>
      <c r="O11" s="84">
        <f>-'Data Property 2'!O174</f>
        <v>-3513.5220533434535</v>
      </c>
      <c r="P11" s="84">
        <f>-'Data Property 2'!P174</f>
        <v>-3601.36010467704</v>
      </c>
      <c r="Q11" s="84">
        <f>-'Data Property 2'!Q174</f>
        <v>-3691.394107293966</v>
      </c>
    </row>
    <row r="12" spans="1:17" hidden="1" outlineLevel="1" x14ac:dyDescent="0.2">
      <c r="A12" s="85" t="str">
        <f>'Data Property 2'!$A$175</f>
        <v>Cleaning</v>
      </c>
      <c r="B12" s="60"/>
      <c r="C12" s="285">
        <f>-'Data Property 2'!C175</f>
        <v>0</v>
      </c>
      <c r="D12" s="84">
        <f>-'Data Property 2'!D175</f>
        <v>0</v>
      </c>
      <c r="E12" s="84">
        <f>-'Data Property 2'!E175</f>
        <v>0</v>
      </c>
      <c r="F12" s="84">
        <f>-'Data Property 2'!F175</f>
        <v>0</v>
      </c>
      <c r="G12" s="84">
        <f>-'Data Property 2'!G175</f>
        <v>0</v>
      </c>
      <c r="H12" s="84">
        <f>-'Data Property 2'!H175</f>
        <v>0</v>
      </c>
      <c r="I12" s="84">
        <f>-'Data Property 2'!I175</f>
        <v>0</v>
      </c>
      <c r="J12" s="84">
        <f>-'Data Property 2'!J175</f>
        <v>0</v>
      </c>
      <c r="K12" s="84">
        <f>-'Data Property 2'!K175</f>
        <v>0</v>
      </c>
      <c r="L12" s="84">
        <f>-'Data Property 2'!L175</f>
        <v>0</v>
      </c>
      <c r="M12" s="84">
        <f>-'Data Property 2'!M175</f>
        <v>0</v>
      </c>
      <c r="N12" s="84">
        <f>-'Data Property 2'!N175</f>
        <v>0</v>
      </c>
      <c r="O12" s="84">
        <f>-'Data Property 2'!O175</f>
        <v>0</v>
      </c>
      <c r="P12" s="84">
        <f>-'Data Property 2'!P175</f>
        <v>0</v>
      </c>
      <c r="Q12" s="84">
        <f>-'Data Property 2'!Q175</f>
        <v>0</v>
      </c>
    </row>
    <row r="13" spans="1:17" hidden="1" outlineLevel="1" x14ac:dyDescent="0.2">
      <c r="A13" s="85" t="str">
        <f>'Data Property 2'!$A$176</f>
        <v>Council Rates</v>
      </c>
      <c r="B13" s="60"/>
      <c r="C13" s="285">
        <f>-'Data Property 2'!C176</f>
        <v>-295.89041095890411</v>
      </c>
      <c r="D13" s="84">
        <f>-'Data Property 2'!D176</f>
        <v>-1845</v>
      </c>
      <c r="E13" s="84">
        <f>-'Data Property 2'!E176</f>
        <v>-1891.125</v>
      </c>
      <c r="F13" s="84">
        <f>-'Data Property 2'!F176</f>
        <v>-1938.403125</v>
      </c>
      <c r="G13" s="84">
        <f>-'Data Property 2'!G176</f>
        <v>-1986.8632031250002</v>
      </c>
      <c r="H13" s="84">
        <f>-'Data Property 2'!H176</f>
        <v>-2036.5347832031252</v>
      </c>
      <c r="I13" s="84">
        <f>-'Data Property 2'!I176</f>
        <v>-2087.4481527832036</v>
      </c>
      <c r="J13" s="84">
        <f>-'Data Property 2'!J176</f>
        <v>-2139.6343566027836</v>
      </c>
      <c r="K13" s="84">
        <f>-'Data Property 2'!K176</f>
        <v>-2193.1252155178531</v>
      </c>
      <c r="L13" s="84">
        <f>-'Data Property 2'!L176</f>
        <v>-2247.9533459057993</v>
      </c>
      <c r="M13" s="84">
        <f>-'Data Property 2'!M176</f>
        <v>-2304.1521795534445</v>
      </c>
      <c r="N13" s="84">
        <f>-'Data Property 2'!N176</f>
        <v>-2361.7559840422805</v>
      </c>
      <c r="O13" s="84">
        <f>-'Data Property 2'!O176</f>
        <v>-2420.7998836433376</v>
      </c>
      <c r="P13" s="84">
        <f>-'Data Property 2'!P176</f>
        <v>-2481.3198807344211</v>
      </c>
      <c r="Q13" s="84">
        <f>-'Data Property 2'!Q176</f>
        <v>-2543.3528777527818</v>
      </c>
    </row>
    <row r="14" spans="1:17" hidden="1" outlineLevel="1" x14ac:dyDescent="0.2">
      <c r="A14" s="85" t="str">
        <f>'Data Property 2'!$A$177</f>
        <v>Gardening / Mowing</v>
      </c>
      <c r="B14" s="60"/>
      <c r="C14" s="285">
        <f>-'Data Property 2'!C177</f>
        <v>0</v>
      </c>
      <c r="D14" s="84">
        <f>-'Data Property 2'!D177</f>
        <v>0</v>
      </c>
      <c r="E14" s="84">
        <f>-'Data Property 2'!E177</f>
        <v>0</v>
      </c>
      <c r="F14" s="84">
        <f>-'Data Property 2'!F177</f>
        <v>0</v>
      </c>
      <c r="G14" s="84">
        <f>-'Data Property 2'!G177</f>
        <v>0</v>
      </c>
      <c r="H14" s="84">
        <f>-'Data Property 2'!H177</f>
        <v>0</v>
      </c>
      <c r="I14" s="84">
        <f>-'Data Property 2'!I177</f>
        <v>0</v>
      </c>
      <c r="J14" s="84">
        <f>-'Data Property 2'!J177</f>
        <v>0</v>
      </c>
      <c r="K14" s="84">
        <f>-'Data Property 2'!K177</f>
        <v>0</v>
      </c>
      <c r="L14" s="84">
        <f>-'Data Property 2'!L177</f>
        <v>0</v>
      </c>
      <c r="M14" s="84">
        <f>-'Data Property 2'!M177</f>
        <v>0</v>
      </c>
      <c r="N14" s="84">
        <f>-'Data Property 2'!N177</f>
        <v>0</v>
      </c>
      <c r="O14" s="84">
        <f>-'Data Property 2'!O177</f>
        <v>0</v>
      </c>
      <c r="P14" s="84">
        <f>-'Data Property 2'!P177</f>
        <v>0</v>
      </c>
      <c r="Q14" s="84">
        <f>-'Data Property 2'!Q177</f>
        <v>0</v>
      </c>
    </row>
    <row r="15" spans="1:17" hidden="1" outlineLevel="1" x14ac:dyDescent="0.2">
      <c r="A15" s="85" t="str">
        <f>'Data Property 2'!$A$178</f>
        <v>Land Tax</v>
      </c>
      <c r="B15" s="60"/>
      <c r="C15" s="285">
        <f>-'Data Property 2'!C178</f>
        <v>0</v>
      </c>
      <c r="D15" s="84">
        <f>-'Data Property 2'!D178</f>
        <v>0</v>
      </c>
      <c r="E15" s="84">
        <f>-'Data Property 2'!E178</f>
        <v>0</v>
      </c>
      <c r="F15" s="84">
        <f>-'Data Property 2'!F178</f>
        <v>0</v>
      </c>
      <c r="G15" s="84">
        <f>-'Data Property 2'!G178</f>
        <v>0</v>
      </c>
      <c r="H15" s="84">
        <f>-'Data Property 2'!H178</f>
        <v>0</v>
      </c>
      <c r="I15" s="84">
        <f>-'Data Property 2'!I178</f>
        <v>0</v>
      </c>
      <c r="J15" s="84">
        <f>-'Data Property 2'!J178</f>
        <v>0</v>
      </c>
      <c r="K15" s="84">
        <f>-'Data Property 2'!K178</f>
        <v>0</v>
      </c>
      <c r="L15" s="84">
        <f>-'Data Property 2'!L178</f>
        <v>0</v>
      </c>
      <c r="M15" s="84">
        <f>-'Data Property 2'!M178</f>
        <v>0</v>
      </c>
      <c r="N15" s="84">
        <f>-'Data Property 2'!N178</f>
        <v>0</v>
      </c>
      <c r="O15" s="84">
        <f>-'Data Property 2'!O178</f>
        <v>0</v>
      </c>
      <c r="P15" s="84">
        <f>-'Data Property 2'!P178</f>
        <v>0</v>
      </c>
      <c r="Q15" s="84">
        <f>-'Data Property 2'!Q178</f>
        <v>0</v>
      </c>
    </row>
    <row r="16" spans="1:17" hidden="1" outlineLevel="1" x14ac:dyDescent="0.2">
      <c r="A16" s="85" t="str">
        <f>'Data Property 2'!$A$179</f>
        <v>Legal Expenses</v>
      </c>
      <c r="B16" s="60"/>
      <c r="C16" s="285">
        <f>-'Data Property 2'!C179</f>
        <v>0</v>
      </c>
      <c r="D16" s="84">
        <f>-'Data Property 2'!D179</f>
        <v>0</v>
      </c>
      <c r="E16" s="84">
        <f>-'Data Property 2'!E179</f>
        <v>0</v>
      </c>
      <c r="F16" s="84">
        <f>-'Data Property 2'!F179</f>
        <v>0</v>
      </c>
      <c r="G16" s="84">
        <f>-'Data Property 2'!G179</f>
        <v>0</v>
      </c>
      <c r="H16" s="84">
        <f>-'Data Property 2'!H179</f>
        <v>0</v>
      </c>
      <c r="I16" s="84">
        <f>-'Data Property 2'!I179</f>
        <v>0</v>
      </c>
      <c r="J16" s="84">
        <f>-'Data Property 2'!J179</f>
        <v>0</v>
      </c>
      <c r="K16" s="84">
        <f>-'Data Property 2'!K179</f>
        <v>0</v>
      </c>
      <c r="L16" s="84">
        <f>-'Data Property 2'!L179</f>
        <v>0</v>
      </c>
      <c r="M16" s="84">
        <f>-'Data Property 2'!M179</f>
        <v>0</v>
      </c>
      <c r="N16" s="84">
        <f>-'Data Property 2'!N179</f>
        <v>0</v>
      </c>
      <c r="O16" s="84">
        <f>-'Data Property 2'!O179</f>
        <v>0</v>
      </c>
      <c r="P16" s="84">
        <f>-'Data Property 2'!P179</f>
        <v>0</v>
      </c>
      <c r="Q16" s="84">
        <f>-'Data Property 2'!Q179</f>
        <v>0</v>
      </c>
    </row>
    <row r="17" spans="1:17" hidden="1" outlineLevel="1" x14ac:dyDescent="0.2">
      <c r="A17" s="85" t="str">
        <f>'Data Property 2'!$A$180</f>
        <v>Pest Control</v>
      </c>
      <c r="B17" s="60"/>
      <c r="C17" s="285">
        <f>-'Data Property 2'!C180</f>
        <v>0</v>
      </c>
      <c r="D17" s="84">
        <f>-'Data Property 2'!D180</f>
        <v>0</v>
      </c>
      <c r="E17" s="84">
        <f>-'Data Property 2'!E180</f>
        <v>0</v>
      </c>
      <c r="F17" s="84">
        <f>-'Data Property 2'!F180</f>
        <v>0</v>
      </c>
      <c r="G17" s="84">
        <f>-'Data Property 2'!G180</f>
        <v>0</v>
      </c>
      <c r="H17" s="84">
        <f>-'Data Property 2'!H180</f>
        <v>0</v>
      </c>
      <c r="I17" s="84">
        <f>-'Data Property 2'!I180</f>
        <v>0</v>
      </c>
      <c r="J17" s="84">
        <f>-'Data Property 2'!J180</f>
        <v>0</v>
      </c>
      <c r="K17" s="84">
        <f>-'Data Property 2'!K180</f>
        <v>0</v>
      </c>
      <c r="L17" s="84">
        <f>-'Data Property 2'!L180</f>
        <v>0</v>
      </c>
      <c r="M17" s="84">
        <f>-'Data Property 2'!M180</f>
        <v>0</v>
      </c>
      <c r="N17" s="84">
        <f>-'Data Property 2'!N180</f>
        <v>0</v>
      </c>
      <c r="O17" s="84">
        <f>-'Data Property 2'!O180</f>
        <v>0</v>
      </c>
      <c r="P17" s="84">
        <f>-'Data Property 2'!P180</f>
        <v>0</v>
      </c>
      <c r="Q17" s="84">
        <f>-'Data Property 2'!Q180</f>
        <v>0</v>
      </c>
    </row>
    <row r="18" spans="1:17" hidden="1" outlineLevel="1" x14ac:dyDescent="0.2">
      <c r="A18" s="85" t="str">
        <f>'Data Property 2'!$A$181</f>
        <v>Bookkeeping</v>
      </c>
      <c r="B18" s="60"/>
      <c r="C18" s="285">
        <f>-'Data Property 2'!C181</f>
        <v>0</v>
      </c>
      <c r="D18" s="84">
        <f>-'Data Property 2'!D181</f>
        <v>0</v>
      </c>
      <c r="E18" s="84">
        <f>-'Data Property 2'!E181</f>
        <v>0</v>
      </c>
      <c r="F18" s="84">
        <f>-'Data Property 2'!F181</f>
        <v>0</v>
      </c>
      <c r="G18" s="84">
        <f>-'Data Property 2'!G181</f>
        <v>0</v>
      </c>
      <c r="H18" s="84">
        <f>-'Data Property 2'!H181</f>
        <v>0</v>
      </c>
      <c r="I18" s="84">
        <f>-'Data Property 2'!I181</f>
        <v>0</v>
      </c>
      <c r="J18" s="84">
        <f>-'Data Property 2'!J181</f>
        <v>0</v>
      </c>
      <c r="K18" s="84">
        <f>-'Data Property 2'!K181</f>
        <v>0</v>
      </c>
      <c r="L18" s="84">
        <f>-'Data Property 2'!L181</f>
        <v>0</v>
      </c>
      <c r="M18" s="84">
        <f>-'Data Property 2'!M181</f>
        <v>0</v>
      </c>
      <c r="N18" s="84">
        <f>-'Data Property 2'!N181</f>
        <v>0</v>
      </c>
      <c r="O18" s="84">
        <f>-'Data Property 2'!O181</f>
        <v>0</v>
      </c>
      <c r="P18" s="84">
        <f>-'Data Property 2'!P181</f>
        <v>0</v>
      </c>
      <c r="Q18" s="84">
        <f>-'Data Property 2'!Q181</f>
        <v>0</v>
      </c>
    </row>
    <row r="19" spans="1:17" hidden="1" outlineLevel="1" x14ac:dyDescent="0.2">
      <c r="A19" s="85" t="str">
        <f>'Data Property 2'!$A$182</f>
        <v>Postage and Stationery</v>
      </c>
      <c r="B19" s="60"/>
      <c r="C19" s="285">
        <f>-'Data Property 2'!C182</f>
        <v>0</v>
      </c>
      <c r="D19" s="84">
        <f>-'Data Property 2'!D182</f>
        <v>0</v>
      </c>
      <c r="E19" s="84">
        <f>-'Data Property 2'!E182</f>
        <v>0</v>
      </c>
      <c r="F19" s="84">
        <f>-'Data Property 2'!F182</f>
        <v>0</v>
      </c>
      <c r="G19" s="84">
        <f>-'Data Property 2'!G182</f>
        <v>0</v>
      </c>
      <c r="H19" s="84">
        <f>-'Data Property 2'!H182</f>
        <v>0</v>
      </c>
      <c r="I19" s="84">
        <f>-'Data Property 2'!I182</f>
        <v>0</v>
      </c>
      <c r="J19" s="84">
        <f>-'Data Property 2'!J182</f>
        <v>0</v>
      </c>
      <c r="K19" s="84">
        <f>-'Data Property 2'!K182</f>
        <v>0</v>
      </c>
      <c r="L19" s="84">
        <f>-'Data Property 2'!L182</f>
        <v>0</v>
      </c>
      <c r="M19" s="84">
        <f>-'Data Property 2'!M182</f>
        <v>0</v>
      </c>
      <c r="N19" s="84">
        <f>-'Data Property 2'!N182</f>
        <v>0</v>
      </c>
      <c r="O19" s="84">
        <f>-'Data Property 2'!O182</f>
        <v>0</v>
      </c>
      <c r="P19" s="84">
        <f>-'Data Property 2'!P182</f>
        <v>0</v>
      </c>
      <c r="Q19" s="84">
        <f>-'Data Property 2'!Q182</f>
        <v>0</v>
      </c>
    </row>
    <row r="20" spans="1:17" hidden="1" outlineLevel="1" x14ac:dyDescent="0.2">
      <c r="A20" s="85" t="str">
        <f>'Data Property 2'!$A$183</f>
        <v>Tax Related Expenses</v>
      </c>
      <c r="B20" s="60"/>
      <c r="C20" s="285">
        <f>-'Data Property 2'!C183</f>
        <v>-94.479452054794521</v>
      </c>
      <c r="D20" s="84">
        <f>-'Data Property 2'!D183</f>
        <v>-589.11874999999998</v>
      </c>
      <c r="E20" s="84">
        <f>-'Data Property 2'!E183</f>
        <v>-603.84671874999992</v>
      </c>
      <c r="F20" s="84">
        <f>-'Data Property 2'!F183</f>
        <v>-618.94288671874995</v>
      </c>
      <c r="G20" s="84">
        <f>-'Data Property 2'!G183</f>
        <v>-634.41645888671871</v>
      </c>
      <c r="H20" s="84">
        <f>-'Data Property 2'!H183</f>
        <v>-650.27687035888664</v>
      </c>
      <c r="I20" s="84">
        <f>-'Data Property 2'!I183</f>
        <v>-666.53379211785875</v>
      </c>
      <c r="J20" s="84">
        <f>-'Data Property 2'!J183</f>
        <v>-683.19713692080518</v>
      </c>
      <c r="K20" s="84">
        <f>-'Data Property 2'!K183</f>
        <v>-700.27706534382526</v>
      </c>
      <c r="L20" s="84">
        <f>-'Data Property 2'!L183</f>
        <v>-717.7839919774209</v>
      </c>
      <c r="M20" s="84">
        <f>-'Data Property 2'!M183</f>
        <v>-735.72859177685643</v>
      </c>
      <c r="N20" s="84">
        <f>-'Data Property 2'!N183</f>
        <v>-754.12180657127783</v>
      </c>
      <c r="O20" s="84">
        <f>-'Data Property 2'!O183</f>
        <v>-772.97485173555981</v>
      </c>
      <c r="P20" s="84">
        <f>-'Data Property 2'!P183</f>
        <v>-792.29922302894886</v>
      </c>
      <c r="Q20" s="84">
        <f>-'Data Property 2'!Q183</f>
        <v>-812.10670360467259</v>
      </c>
    </row>
    <row r="21" spans="1:17" hidden="1" outlineLevel="1" x14ac:dyDescent="0.2">
      <c r="A21" s="85" t="str">
        <f>'Data Property 2'!$A$184</f>
        <v>Travel and Car Expenses</v>
      </c>
      <c r="B21" s="60"/>
      <c r="C21" s="285">
        <f>-'Data Property 2'!C184</f>
        <v>0</v>
      </c>
      <c r="D21" s="84">
        <f>-'Data Property 2'!D184</f>
        <v>0</v>
      </c>
      <c r="E21" s="84">
        <f>-'Data Property 2'!E184</f>
        <v>0</v>
      </c>
      <c r="F21" s="84">
        <f>-'Data Property 2'!F184</f>
        <v>0</v>
      </c>
      <c r="G21" s="84">
        <f>-'Data Property 2'!G184</f>
        <v>0</v>
      </c>
      <c r="H21" s="84">
        <f>-'Data Property 2'!H184</f>
        <v>0</v>
      </c>
      <c r="I21" s="84">
        <f>-'Data Property 2'!I184</f>
        <v>0</v>
      </c>
      <c r="J21" s="84">
        <f>-'Data Property 2'!J184</f>
        <v>0</v>
      </c>
      <c r="K21" s="84">
        <f>-'Data Property 2'!K184</f>
        <v>0</v>
      </c>
      <c r="L21" s="84">
        <f>-'Data Property 2'!L184</f>
        <v>0</v>
      </c>
      <c r="M21" s="84">
        <f>-'Data Property 2'!M184</f>
        <v>0</v>
      </c>
      <c r="N21" s="84">
        <f>-'Data Property 2'!N184</f>
        <v>0</v>
      </c>
      <c r="O21" s="84">
        <f>-'Data Property 2'!O184</f>
        <v>0</v>
      </c>
      <c r="P21" s="84">
        <f>-'Data Property 2'!P184</f>
        <v>0</v>
      </c>
      <c r="Q21" s="84">
        <f>-'Data Property 2'!Q184</f>
        <v>0</v>
      </c>
    </row>
    <row r="22" spans="1:17" hidden="1" outlineLevel="1" x14ac:dyDescent="0.2">
      <c r="A22" s="85" t="str">
        <f>'Data Property 2'!$A$185</f>
        <v>Once Off Expenses</v>
      </c>
      <c r="B22" s="60"/>
      <c r="C22" s="285">
        <f>-'Data Property 2'!C185</f>
        <v>-50</v>
      </c>
      <c r="D22" s="84">
        <f>-'Data Property 2'!D185</f>
        <v>0</v>
      </c>
      <c r="E22" s="84">
        <f>-'Data Property 2'!E185</f>
        <v>0</v>
      </c>
      <c r="F22" s="84">
        <f>-'Data Property 2'!F185</f>
        <v>0</v>
      </c>
      <c r="G22" s="84">
        <f>-'Data Property 2'!G185</f>
        <v>0</v>
      </c>
      <c r="H22" s="84">
        <f>-'Data Property 2'!H185</f>
        <v>0</v>
      </c>
      <c r="I22" s="84">
        <f>-'Data Property 2'!I185</f>
        <v>0</v>
      </c>
      <c r="J22" s="84">
        <f>-'Data Property 2'!J185</f>
        <v>0</v>
      </c>
      <c r="K22" s="84">
        <f>-'Data Property 2'!K185</f>
        <v>0</v>
      </c>
      <c r="L22" s="84">
        <f>-'Data Property 2'!L185</f>
        <v>0</v>
      </c>
      <c r="M22" s="84">
        <f>-'Data Property 2'!M185</f>
        <v>0</v>
      </c>
      <c r="N22" s="84">
        <f>-'Data Property 2'!N185</f>
        <v>0</v>
      </c>
      <c r="O22" s="84">
        <f>-'Data Property 2'!O185</f>
        <v>0</v>
      </c>
      <c r="P22" s="84">
        <f>-'Data Property 2'!P185</f>
        <v>0</v>
      </c>
      <c r="Q22" s="84">
        <f>-'Data Property 2'!Q185</f>
        <v>0</v>
      </c>
    </row>
    <row r="23" spans="1:17" collapsed="1" x14ac:dyDescent="0.2">
      <c r="A23" s="85" t="str">
        <f>'Data Property 2'!$A$186</f>
        <v>Total Property Expenses</v>
      </c>
      <c r="B23" s="60"/>
      <c r="C23" s="285">
        <f>-'Data Property 2'!C186</f>
        <v>-1812.8657534246574</v>
      </c>
      <c r="D23" s="84">
        <f>-'Data Property 2'!D186</f>
        <v>-9157.80285</v>
      </c>
      <c r="E23" s="84">
        <f>-'Data Property 2'!E186</f>
        <v>-9393.9114076499991</v>
      </c>
      <c r="F23" s="84">
        <f>-'Data Property 2'!F186</f>
        <v>-9636.1304203468499</v>
      </c>
      <c r="G23" s="84">
        <f>-'Data Property 2'!G186</f>
        <v>-9888.8790221592499</v>
      </c>
      <c r="H23" s="84">
        <f>-'Data Property 2'!H186</f>
        <v>-10139.539098711008</v>
      </c>
      <c r="I23" s="84">
        <f>-'Data Property 2'!I186</f>
        <v>-10401.058877861235</v>
      </c>
      <c r="J23" s="84">
        <f>-'Data Property 2'!J186</f>
        <v>-10669.349559239008</v>
      </c>
      <c r="K23" s="84">
        <f>-'Data Property 2'!K186</f>
        <v>-10949.363634669266</v>
      </c>
      <c r="L23" s="84">
        <f>-'Data Property 2'!L186</f>
        <v>-11226.952332746236</v>
      </c>
      <c r="M23" s="84">
        <f>-'Data Property 2'!M186</f>
        <v>-11516.630388872851</v>
      </c>
      <c r="N23" s="84">
        <f>-'Data Property 2'!N186</f>
        <v>-11813.81151958906</v>
      </c>
      <c r="O23" s="84">
        <f>-'Data Property 2'!O186</f>
        <v>-12124.045980603343</v>
      </c>
      <c r="P23" s="84">
        <f>-'Data Property 2'!P186</f>
        <v>-12431.468700879386</v>
      </c>
      <c r="Q23" s="84">
        <f>-'Data Property 2'!Q186</f>
        <v>-12752.350479176428</v>
      </c>
    </row>
    <row r="24" spans="1:17" x14ac:dyDescent="0.2">
      <c r="A24" s="119"/>
      <c r="B24" s="82"/>
      <c r="C24" s="286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</row>
    <row r="25" spans="1:17" x14ac:dyDescent="0.2">
      <c r="A25" s="88" t="str">
        <f>'Data Property 2'!$A$187</f>
        <v>Total Costs</v>
      </c>
      <c r="B25" s="190"/>
      <c r="C25" s="287">
        <f>-'Data Property 2'!C187</f>
        <v>-3735.664219178082</v>
      </c>
      <c r="D25" s="89">
        <f>-'Data Property 2'!D187</f>
        <v>-20854.826849999998</v>
      </c>
      <c r="E25" s="89">
        <f>-'Data Property 2'!E187</f>
        <v>-21090.935407649999</v>
      </c>
      <c r="F25" s="89">
        <f>-'Data Property 2'!F187</f>
        <v>-21333.154420346851</v>
      </c>
      <c r="G25" s="89">
        <f>-'Data Property 2'!G187</f>
        <v>-21617.949663255142</v>
      </c>
      <c r="H25" s="89">
        <f>-'Data Property 2'!H187</f>
        <v>-21836.563098711005</v>
      </c>
      <c r="I25" s="89">
        <f>-'Data Property 2'!I187</f>
        <v>-22098.082877861234</v>
      </c>
      <c r="J25" s="89">
        <f>-'Data Property 2'!J187</f>
        <v>-22366.373559239008</v>
      </c>
      <c r="K25" s="89">
        <f>-'Data Property 2'!K187</f>
        <v>-22678.434275765158</v>
      </c>
      <c r="L25" s="89">
        <f>-'Data Property 2'!L187</f>
        <v>-22923.976332746235</v>
      </c>
      <c r="M25" s="89">
        <f>-'Data Property 2'!M187</f>
        <v>-23213.654388872848</v>
      </c>
      <c r="N25" s="89">
        <f>-'Data Property 2'!N187</f>
        <v>-23510.835519589062</v>
      </c>
      <c r="O25" s="89">
        <f>-'Data Property 2'!O187</f>
        <v>-23853.116621699235</v>
      </c>
      <c r="P25" s="89">
        <f>-'Data Property 2'!P187</f>
        <v>-24128.492700879386</v>
      </c>
      <c r="Q25" s="89">
        <f>-'Data Property 2'!Q187</f>
        <v>-24449.374479176426</v>
      </c>
    </row>
    <row r="26" spans="1:17" x14ac:dyDescent="0.2">
      <c r="A26" s="82"/>
      <c r="B26" s="82"/>
      <c r="C26" s="288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17" x14ac:dyDescent="0.2">
      <c r="A27" s="73" t="s">
        <v>121</v>
      </c>
      <c r="B27" s="342"/>
      <c r="C27" s="28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1:17" hidden="1" outlineLevel="1" x14ac:dyDescent="0.2">
      <c r="A28" s="83" t="s">
        <v>43</v>
      </c>
      <c r="B28" s="60"/>
      <c r="C28" s="285">
        <f>-'Data Property 2'!C196</f>
        <v>-362</v>
      </c>
      <c r="D28" s="84">
        <f>-'Data Property 2'!D196</f>
        <v>-362</v>
      </c>
      <c r="E28" s="84">
        <f>-'Data Property 2'!E196</f>
        <v>-362</v>
      </c>
      <c r="F28" s="84">
        <f>-'Data Property 2'!F196</f>
        <v>-362</v>
      </c>
      <c r="G28" s="84">
        <f>-'Data Property 2'!G196</f>
        <v>-362</v>
      </c>
      <c r="H28" s="84">
        <f>-'Data Property 2'!H196</f>
        <v>0</v>
      </c>
      <c r="I28" s="84">
        <f>-'Data Property 2'!I196</f>
        <v>0</v>
      </c>
      <c r="J28" s="84">
        <f>-'Data Property 2'!J196</f>
        <v>0</v>
      </c>
      <c r="K28" s="84">
        <f>-'Data Property 2'!K196</f>
        <v>0</v>
      </c>
      <c r="L28" s="84">
        <f>-'Data Property 2'!L196</f>
        <v>0</v>
      </c>
      <c r="M28" s="84">
        <f>-'Data Property 2'!M196</f>
        <v>0</v>
      </c>
      <c r="N28" s="84">
        <f>-'Data Property 2'!N196</f>
        <v>0</v>
      </c>
      <c r="O28" s="84">
        <f>-'Data Property 2'!O196</f>
        <v>0</v>
      </c>
      <c r="P28" s="84">
        <f>-'Data Property 2'!P196</f>
        <v>0</v>
      </c>
      <c r="Q28" s="84">
        <f>-'Data Property 2'!Q196</f>
        <v>0</v>
      </c>
    </row>
    <row r="29" spans="1:17" hidden="1" outlineLevel="1" x14ac:dyDescent="0.2">
      <c r="A29" s="85" t="str">
        <f>'Data Property 2'!$A$197</f>
        <v>Depreciation - Buildings</v>
      </c>
      <c r="C29" s="290">
        <f>-'Data Property 2'!C197</f>
        <v>-3375</v>
      </c>
      <c r="D29" s="86">
        <f>-'Data Property 2'!D197</f>
        <v>-3375</v>
      </c>
      <c r="E29" s="86">
        <f>-'Data Property 2'!E197</f>
        <v>-3375</v>
      </c>
      <c r="F29" s="86">
        <f>-'Data Property 2'!F197</f>
        <v>-3375</v>
      </c>
      <c r="G29" s="86">
        <f>-'Data Property 2'!G197</f>
        <v>-3375</v>
      </c>
      <c r="H29" s="86">
        <f>-'Data Property 2'!H197</f>
        <v>-3375</v>
      </c>
      <c r="I29" s="86">
        <f>-'Data Property 2'!I197</f>
        <v>-3375</v>
      </c>
      <c r="J29" s="86">
        <f>-'Data Property 2'!J197</f>
        <v>-3375</v>
      </c>
      <c r="K29" s="86">
        <f>-'Data Property 2'!K197</f>
        <v>-3375</v>
      </c>
      <c r="L29" s="86">
        <f>-'Data Property 2'!L197</f>
        <v>-3375</v>
      </c>
      <c r="M29" s="86">
        <f>-'Data Property 2'!M197</f>
        <v>-3375</v>
      </c>
      <c r="N29" s="86">
        <f>-'Data Property 2'!N197</f>
        <v>-3375</v>
      </c>
      <c r="O29" s="86">
        <f>-'Data Property 2'!O197</f>
        <v>-3375</v>
      </c>
      <c r="P29" s="86">
        <f>-'Data Property 2'!P197</f>
        <v>-3375</v>
      </c>
      <c r="Q29" s="86">
        <f>-'Data Property 2'!Q197</f>
        <v>-3375</v>
      </c>
    </row>
    <row r="30" spans="1:17" hidden="1" outlineLevel="1" x14ac:dyDescent="0.2">
      <c r="A30" s="85" t="str">
        <f>'Data Property 2'!$A$198</f>
        <v xml:space="preserve">Depreciation - Fittings Diminishing Value </v>
      </c>
      <c r="B30" s="76"/>
      <c r="C30" s="291">
        <f>-'Data Property 2'!C198</f>
        <v>-1500</v>
      </c>
      <c r="D30" s="90">
        <f>-'Data Property 2'!D198</f>
        <v>-1050</v>
      </c>
      <c r="E30" s="90">
        <f>-'Data Property 2'!E198</f>
        <v>-735</v>
      </c>
      <c r="F30" s="90">
        <f>-'Data Property 2'!F198</f>
        <v>-514.5</v>
      </c>
      <c r="G30" s="90">
        <f>-'Data Property 2'!G198</f>
        <v>-360.15</v>
      </c>
      <c r="H30" s="90">
        <f>-'Data Property 2'!H198</f>
        <v>-252.10499999999999</v>
      </c>
      <c r="I30" s="90">
        <f>-'Data Property 2'!I198</f>
        <v>-176.4735</v>
      </c>
      <c r="J30" s="90">
        <f>-'Data Property 2'!J198</f>
        <v>-123.53144999999999</v>
      </c>
      <c r="K30" s="90">
        <f>-'Data Property 2'!K198</f>
        <v>-86.472014999999999</v>
      </c>
      <c r="L30" s="90">
        <f>-'Data Property 2'!L198</f>
        <v>-60.530410499999995</v>
      </c>
      <c r="M30" s="90">
        <f>-'Data Property 2'!M198</f>
        <v>-42.371287350000003</v>
      </c>
      <c r="N30" s="90">
        <f>-'Data Property 2'!N198</f>
        <v>-29.659901144999999</v>
      </c>
      <c r="O30" s="90">
        <f>-'Data Property 2'!O198</f>
        <v>-20.7619308015</v>
      </c>
      <c r="P30" s="90">
        <f>-'Data Property 2'!P198</f>
        <v>-14.533351561049999</v>
      </c>
      <c r="Q30" s="90">
        <f>-'Data Property 2'!Q198</f>
        <v>-10.173346092735001</v>
      </c>
    </row>
    <row r="31" spans="1:17" collapsed="1" x14ac:dyDescent="0.2">
      <c r="A31" s="88" t="str">
        <f>'Data Property 2'!$A$200</f>
        <v>Total Non-cash Deductions</v>
      </c>
      <c r="B31" s="190"/>
      <c r="C31" s="287">
        <f t="shared" ref="C31:Q31" si="0">SUM(C28:C30)</f>
        <v>-5237</v>
      </c>
      <c r="D31" s="89">
        <f t="shared" si="0"/>
        <v>-4787</v>
      </c>
      <c r="E31" s="89">
        <f t="shared" si="0"/>
        <v>-4472</v>
      </c>
      <c r="F31" s="89">
        <f t="shared" si="0"/>
        <v>-4251.5</v>
      </c>
      <c r="G31" s="89">
        <f t="shared" si="0"/>
        <v>-4097.1499999999996</v>
      </c>
      <c r="H31" s="89">
        <f t="shared" si="0"/>
        <v>-3627.105</v>
      </c>
      <c r="I31" s="89">
        <f t="shared" si="0"/>
        <v>-3551.4735000000001</v>
      </c>
      <c r="J31" s="89">
        <f t="shared" si="0"/>
        <v>-3498.5314499999999</v>
      </c>
      <c r="K31" s="89">
        <f t="shared" si="0"/>
        <v>-3461.4720149999998</v>
      </c>
      <c r="L31" s="89">
        <f t="shared" si="0"/>
        <v>-3435.5304105</v>
      </c>
      <c r="M31" s="89">
        <f t="shared" si="0"/>
        <v>-3417.3712873499999</v>
      </c>
      <c r="N31" s="89">
        <f t="shared" si="0"/>
        <v>-3404.6599011449998</v>
      </c>
      <c r="O31" s="89">
        <f t="shared" si="0"/>
        <v>-3395.7619308015001</v>
      </c>
      <c r="P31" s="89">
        <f t="shared" si="0"/>
        <v>-3389.53335156105</v>
      </c>
      <c r="Q31" s="89">
        <f t="shared" si="0"/>
        <v>-3385.1733460927348</v>
      </c>
    </row>
    <row r="32" spans="1:17" x14ac:dyDescent="0.2">
      <c r="A32" s="60"/>
      <c r="B32" s="60"/>
      <c r="C32" s="292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</row>
    <row r="33" spans="1:17" x14ac:dyDescent="0.2">
      <c r="A33" s="73" t="s">
        <v>122</v>
      </c>
      <c r="B33" s="342"/>
      <c r="C33" s="28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1:17" hidden="1" outlineLevel="1" x14ac:dyDescent="0.2">
      <c r="A34" s="91" t="str">
        <f>'Data Property 2'!$A$163</f>
        <v>Rent Per Week</v>
      </c>
      <c r="B34" s="343"/>
      <c r="C34" s="293">
        <f>'Data Property 2'!C163</f>
        <v>380</v>
      </c>
      <c r="D34" s="92">
        <f>'Data Property 2'!D163</f>
        <v>391.02</v>
      </c>
      <c r="E34" s="92">
        <f>'Data Property 2'!E163</f>
        <v>402.35957999999994</v>
      </c>
      <c r="F34" s="92">
        <f>'Data Property 2'!F163</f>
        <v>414.02800781999991</v>
      </c>
      <c r="G34" s="92">
        <f>'Data Property 2'!G163</f>
        <v>426.03482004677988</v>
      </c>
      <c r="H34" s="92">
        <f>'Data Property 2'!H163</f>
        <v>438.38982982813644</v>
      </c>
      <c r="I34" s="92">
        <f>'Data Property 2'!I163</f>
        <v>451.10313489315234</v>
      </c>
      <c r="J34" s="92">
        <f>'Data Property 2'!J163</f>
        <v>464.1851258050537</v>
      </c>
      <c r="K34" s="92">
        <f>'Data Property 2'!K163</f>
        <v>477.64649445340024</v>
      </c>
      <c r="L34" s="92">
        <f>'Data Property 2'!L163</f>
        <v>491.49824279254881</v>
      </c>
      <c r="M34" s="92">
        <f>'Data Property 2'!M163</f>
        <v>505.75169183353267</v>
      </c>
      <c r="N34" s="92">
        <f>'Data Property 2'!N163</f>
        <v>520.41849089670507</v>
      </c>
      <c r="O34" s="92">
        <f>'Data Property 2'!O163</f>
        <v>535.51062713270949</v>
      </c>
      <c r="P34" s="92">
        <f>'Data Property 2'!P163</f>
        <v>551.04043531955801</v>
      </c>
      <c r="Q34" s="92">
        <f>'Data Property 2'!Q163</f>
        <v>567.0206079438251</v>
      </c>
    </row>
    <row r="35" spans="1:17" hidden="1" outlineLevel="1" x14ac:dyDescent="0.2">
      <c r="A35" s="93" t="str">
        <f>'Data Property 2'!$A$164</f>
        <v>Weeks</v>
      </c>
      <c r="B35" s="344"/>
      <c r="C35" s="294">
        <f>'Input Property 2'!$B$7</f>
        <v>51</v>
      </c>
      <c r="D35" s="250">
        <f>'Input Property 2'!$B$7</f>
        <v>51</v>
      </c>
      <c r="E35" s="250">
        <f>'Input Property 2'!$B$7</f>
        <v>51</v>
      </c>
      <c r="F35" s="250">
        <f>'Input Property 2'!$B$7</f>
        <v>51</v>
      </c>
      <c r="G35" s="250">
        <f>'Input Property 2'!$B$7</f>
        <v>51</v>
      </c>
      <c r="H35" s="250">
        <f>'Input Property 2'!$B$7</f>
        <v>51</v>
      </c>
      <c r="I35" s="250">
        <f>'Input Property 2'!$B$7</f>
        <v>51</v>
      </c>
      <c r="J35" s="250">
        <f>'Input Property 2'!$B$7</f>
        <v>51</v>
      </c>
      <c r="K35" s="250">
        <f>'Input Property 2'!$B$7</f>
        <v>51</v>
      </c>
      <c r="L35" s="250">
        <f>'Input Property 2'!$B$7</f>
        <v>51</v>
      </c>
      <c r="M35" s="250">
        <f>'Input Property 2'!$B$7</f>
        <v>51</v>
      </c>
      <c r="N35" s="250">
        <f>'Input Property 2'!$B$7</f>
        <v>51</v>
      </c>
      <c r="O35" s="250">
        <f>'Input Property 2'!$B$7</f>
        <v>51</v>
      </c>
      <c r="P35" s="250">
        <f>'Input Property 2'!$B$7</f>
        <v>51</v>
      </c>
      <c r="Q35" s="250">
        <f>'Input Property 2'!$B$7</f>
        <v>51</v>
      </c>
    </row>
    <row r="36" spans="1:17" collapsed="1" x14ac:dyDescent="0.2">
      <c r="A36" s="94" t="str">
        <f>'Data Property 2'!$A$165</f>
        <v>Total Rent</v>
      </c>
      <c r="B36" s="345"/>
      <c r="C36" s="295">
        <f>'Data Property 2'!C165</f>
        <v>2877.1428571428569</v>
      </c>
      <c r="D36" s="95">
        <f>'Data Property 2'!D165</f>
        <v>19997.88</v>
      </c>
      <c r="E36" s="95">
        <f>'Data Property 2'!E165</f>
        <v>20577.818519999997</v>
      </c>
      <c r="F36" s="95">
        <f>'Data Property 2'!F165</f>
        <v>21174.575257079996</v>
      </c>
      <c r="G36" s="95">
        <f>'Data Property 2'!G165</f>
        <v>21849.500056684854</v>
      </c>
      <c r="H36" s="95">
        <f>'Data Property 2'!H165</f>
        <v>22420.508439781835</v>
      </c>
      <c r="I36" s="95">
        <f>'Data Property 2'!I165</f>
        <v>23070.703184535509</v>
      </c>
      <c r="J36" s="95">
        <f>'Data Property 2'!J165</f>
        <v>23739.753576887033</v>
      </c>
      <c r="K36" s="95">
        <f>'Data Property 2'!K165</f>
        <v>24496.441644110098</v>
      </c>
      <c r="L36" s="95">
        <f>'Data Property 2'!L165</f>
        <v>25136.624417104642</v>
      </c>
      <c r="M36" s="95">
        <f>'Data Property 2'!M165</f>
        <v>25865.586525200673</v>
      </c>
      <c r="N36" s="95">
        <f>'Data Property 2'!N165</f>
        <v>26615.688534431491</v>
      </c>
      <c r="O36" s="95">
        <f>'Data Property 2'!O165</f>
        <v>27464.045020091813</v>
      </c>
      <c r="P36" s="95">
        <f>'Data Property 2'!P165</f>
        <v>28181.782263485969</v>
      </c>
      <c r="Q36" s="95">
        <f>'Data Property 2'!Q165</f>
        <v>28999.053949127057</v>
      </c>
    </row>
    <row r="37" spans="1:17" x14ac:dyDescent="0.2">
      <c r="A37" s="60"/>
      <c r="B37" s="60"/>
      <c r="C37" s="198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x14ac:dyDescent="0.2">
      <c r="A38" s="73" t="s">
        <v>124</v>
      </c>
      <c r="B38" s="342"/>
      <c r="C38" s="289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1:17" hidden="1" outlineLevel="1" x14ac:dyDescent="0.2">
      <c r="A39" s="96" t="s">
        <v>125</v>
      </c>
      <c r="B39" s="346"/>
      <c r="C39" s="296">
        <f t="shared" ref="C39:Q39" si="1">C25</f>
        <v>-3735.664219178082</v>
      </c>
      <c r="D39" s="97">
        <f t="shared" si="1"/>
        <v>-20854.826849999998</v>
      </c>
      <c r="E39" s="97">
        <f t="shared" si="1"/>
        <v>-21090.935407649999</v>
      </c>
      <c r="F39" s="97">
        <f t="shared" si="1"/>
        <v>-21333.154420346851</v>
      </c>
      <c r="G39" s="97">
        <f t="shared" si="1"/>
        <v>-21617.949663255142</v>
      </c>
      <c r="H39" s="97">
        <f t="shared" si="1"/>
        <v>-21836.563098711005</v>
      </c>
      <c r="I39" s="97">
        <f t="shared" si="1"/>
        <v>-22098.082877861234</v>
      </c>
      <c r="J39" s="97">
        <f t="shared" si="1"/>
        <v>-22366.373559239008</v>
      </c>
      <c r="K39" s="97">
        <f t="shared" si="1"/>
        <v>-22678.434275765158</v>
      </c>
      <c r="L39" s="97">
        <f t="shared" si="1"/>
        <v>-22923.976332746235</v>
      </c>
      <c r="M39" s="97">
        <f t="shared" si="1"/>
        <v>-23213.654388872848</v>
      </c>
      <c r="N39" s="97">
        <f t="shared" si="1"/>
        <v>-23510.835519589062</v>
      </c>
      <c r="O39" s="97">
        <f t="shared" si="1"/>
        <v>-23853.116621699235</v>
      </c>
      <c r="P39" s="97">
        <f t="shared" si="1"/>
        <v>-24128.492700879386</v>
      </c>
      <c r="Q39" s="97">
        <f t="shared" si="1"/>
        <v>-24449.374479176426</v>
      </c>
    </row>
    <row r="40" spans="1:17" hidden="1" outlineLevel="1" x14ac:dyDescent="0.2">
      <c r="A40" s="98" t="s">
        <v>126</v>
      </c>
      <c r="B40" s="347"/>
      <c r="C40" s="297">
        <f t="shared" ref="C40:Q40" si="2">C36</f>
        <v>2877.1428571428569</v>
      </c>
      <c r="D40" s="99">
        <f t="shared" si="2"/>
        <v>19997.88</v>
      </c>
      <c r="E40" s="99">
        <f t="shared" si="2"/>
        <v>20577.818519999997</v>
      </c>
      <c r="F40" s="99">
        <f t="shared" si="2"/>
        <v>21174.575257079996</v>
      </c>
      <c r="G40" s="99">
        <f t="shared" si="2"/>
        <v>21849.500056684854</v>
      </c>
      <c r="H40" s="99">
        <f t="shared" si="2"/>
        <v>22420.508439781835</v>
      </c>
      <c r="I40" s="99">
        <f t="shared" si="2"/>
        <v>23070.703184535509</v>
      </c>
      <c r="J40" s="99">
        <f t="shared" si="2"/>
        <v>23739.753576887033</v>
      </c>
      <c r="K40" s="99">
        <f t="shared" si="2"/>
        <v>24496.441644110098</v>
      </c>
      <c r="L40" s="99">
        <f t="shared" si="2"/>
        <v>25136.624417104642</v>
      </c>
      <c r="M40" s="99">
        <f t="shared" si="2"/>
        <v>25865.586525200673</v>
      </c>
      <c r="N40" s="99">
        <f t="shared" si="2"/>
        <v>26615.688534431491</v>
      </c>
      <c r="O40" s="99">
        <f t="shared" si="2"/>
        <v>27464.045020091813</v>
      </c>
      <c r="P40" s="99">
        <f t="shared" si="2"/>
        <v>28181.782263485969</v>
      </c>
      <c r="Q40" s="99">
        <f t="shared" si="2"/>
        <v>28999.053949127057</v>
      </c>
    </row>
    <row r="41" spans="1:17" hidden="1" outlineLevel="1" x14ac:dyDescent="0.2">
      <c r="A41" s="98" t="s">
        <v>127</v>
      </c>
      <c r="B41" s="346"/>
      <c r="C41" s="296">
        <f t="shared" ref="C41:Q41" si="3">C39+C40</f>
        <v>-858.52136203522514</v>
      </c>
      <c r="D41" s="97">
        <f t="shared" si="3"/>
        <v>-856.94684999999663</v>
      </c>
      <c r="E41" s="97">
        <f t="shared" si="3"/>
        <v>-513.11688765000144</v>
      </c>
      <c r="F41" s="97">
        <f t="shared" si="3"/>
        <v>-158.57916326685518</v>
      </c>
      <c r="G41" s="97">
        <f t="shared" si="3"/>
        <v>231.55039342971213</v>
      </c>
      <c r="H41" s="97">
        <f t="shared" si="3"/>
        <v>583.94534107083018</v>
      </c>
      <c r="I41" s="97">
        <f t="shared" si="3"/>
        <v>972.62030667427462</v>
      </c>
      <c r="J41" s="97">
        <f t="shared" si="3"/>
        <v>1373.3800176480254</v>
      </c>
      <c r="K41" s="97">
        <f t="shared" si="3"/>
        <v>1818.0073683449409</v>
      </c>
      <c r="L41" s="97">
        <f t="shared" si="3"/>
        <v>2212.6480843584068</v>
      </c>
      <c r="M41" s="97">
        <f t="shared" si="3"/>
        <v>2651.932136327825</v>
      </c>
      <c r="N41" s="97">
        <f t="shared" si="3"/>
        <v>3104.8530148424288</v>
      </c>
      <c r="O41" s="97">
        <f t="shared" si="3"/>
        <v>3610.9283983925779</v>
      </c>
      <c r="P41" s="97">
        <f t="shared" si="3"/>
        <v>4053.2895626065838</v>
      </c>
      <c r="Q41" s="97">
        <f t="shared" si="3"/>
        <v>4549.6794699506318</v>
      </c>
    </row>
    <row r="42" spans="1:17" hidden="1" outlineLevel="1" x14ac:dyDescent="0.2">
      <c r="A42" s="98" t="s">
        <v>128</v>
      </c>
      <c r="B42" s="348"/>
      <c r="C42" s="298">
        <f t="shared" ref="C42:Q42" si="4">C31</f>
        <v>-5237</v>
      </c>
      <c r="D42" s="100">
        <f t="shared" si="4"/>
        <v>-4787</v>
      </c>
      <c r="E42" s="100">
        <f t="shared" si="4"/>
        <v>-4472</v>
      </c>
      <c r="F42" s="100">
        <f t="shared" si="4"/>
        <v>-4251.5</v>
      </c>
      <c r="G42" s="100">
        <f t="shared" si="4"/>
        <v>-4097.1499999999996</v>
      </c>
      <c r="H42" s="100">
        <f t="shared" si="4"/>
        <v>-3627.105</v>
      </c>
      <c r="I42" s="100">
        <f t="shared" si="4"/>
        <v>-3551.4735000000001</v>
      </c>
      <c r="J42" s="100">
        <f t="shared" si="4"/>
        <v>-3498.5314499999999</v>
      </c>
      <c r="K42" s="100">
        <f t="shared" si="4"/>
        <v>-3461.4720149999998</v>
      </c>
      <c r="L42" s="100">
        <f t="shared" si="4"/>
        <v>-3435.5304105</v>
      </c>
      <c r="M42" s="100">
        <f t="shared" si="4"/>
        <v>-3417.3712873499999</v>
      </c>
      <c r="N42" s="100">
        <f t="shared" si="4"/>
        <v>-3404.6599011449998</v>
      </c>
      <c r="O42" s="100">
        <f t="shared" si="4"/>
        <v>-3395.7619308015001</v>
      </c>
      <c r="P42" s="100">
        <f t="shared" si="4"/>
        <v>-3389.53335156105</v>
      </c>
      <c r="Q42" s="100">
        <f t="shared" si="4"/>
        <v>-3385.1733460927348</v>
      </c>
    </row>
    <row r="43" spans="1:17" hidden="1" outlineLevel="1" x14ac:dyDescent="0.2">
      <c r="A43" s="98"/>
      <c r="B43" s="347"/>
      <c r="C43" s="299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1:17" collapsed="1" x14ac:dyDescent="0.2">
      <c r="A44" s="102" t="s">
        <v>129</v>
      </c>
      <c r="B44" s="349"/>
      <c r="C44" s="300">
        <f t="shared" ref="C44:Q44" si="5">C41+C42</f>
        <v>-6095.5213620352251</v>
      </c>
      <c r="D44" s="103">
        <f t="shared" si="5"/>
        <v>-5643.9468499999966</v>
      </c>
      <c r="E44" s="103">
        <f t="shared" si="5"/>
        <v>-4985.1168876500014</v>
      </c>
      <c r="F44" s="103">
        <f t="shared" si="5"/>
        <v>-4410.0791632668552</v>
      </c>
      <c r="G44" s="103">
        <f t="shared" si="5"/>
        <v>-3865.5996065702875</v>
      </c>
      <c r="H44" s="103">
        <f t="shared" si="5"/>
        <v>-3043.1596589291698</v>
      </c>
      <c r="I44" s="103">
        <f t="shared" si="5"/>
        <v>-2578.8531933257254</v>
      </c>
      <c r="J44" s="103">
        <f t="shared" si="5"/>
        <v>-2125.1514323519746</v>
      </c>
      <c r="K44" s="103">
        <f t="shared" si="5"/>
        <v>-1643.4646466550589</v>
      </c>
      <c r="L44" s="103">
        <f t="shared" si="5"/>
        <v>-1222.8823261415932</v>
      </c>
      <c r="M44" s="103">
        <f t="shared" si="5"/>
        <v>-765.43915102217488</v>
      </c>
      <c r="N44" s="103">
        <f t="shared" si="5"/>
        <v>-299.806886302571</v>
      </c>
      <c r="O44" s="103">
        <f t="shared" si="5"/>
        <v>215.16646759107789</v>
      </c>
      <c r="P44" s="103">
        <f t="shared" si="5"/>
        <v>663.75621104553375</v>
      </c>
      <c r="Q44" s="103">
        <f t="shared" si="5"/>
        <v>1164.5061238578969</v>
      </c>
    </row>
    <row r="45" spans="1:17" x14ac:dyDescent="0.2">
      <c r="A45" s="82"/>
      <c r="B45" s="82"/>
      <c r="C45" s="301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1:17" x14ac:dyDescent="0.2">
      <c r="A46" s="104" t="s">
        <v>50</v>
      </c>
      <c r="B46" s="350"/>
      <c r="C46" s="289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1:17" hidden="1" outlineLevel="1" x14ac:dyDescent="0.2">
      <c r="A47" s="105" t="s">
        <v>137</v>
      </c>
      <c r="B47" s="70"/>
      <c r="C47" s="302">
        <f>'Data Property 2'!C206</f>
        <v>123000</v>
      </c>
      <c r="D47" s="106">
        <f>'Data Property 2'!D206</f>
        <v>125460</v>
      </c>
      <c r="E47" s="106">
        <f>'Data Property 2'!E206</f>
        <v>127969.2</v>
      </c>
      <c r="F47" s="106">
        <f>'Data Property 2'!F206</f>
        <v>130528.584</v>
      </c>
      <c r="G47" s="106">
        <f>'Data Property 2'!G206</f>
        <v>133139.15568</v>
      </c>
      <c r="H47" s="106">
        <f>'Data Property 2'!H206</f>
        <v>135801.93879360001</v>
      </c>
      <c r="I47" s="106">
        <f>'Data Property 2'!I206</f>
        <v>138517.97756947202</v>
      </c>
      <c r="J47" s="106">
        <f>'Data Property 2'!J206</f>
        <v>141288.33712086146</v>
      </c>
      <c r="K47" s="106">
        <f>'Data Property 2'!K206</f>
        <v>144114.10386327869</v>
      </c>
      <c r="L47" s="106">
        <f>'Data Property 2'!L206</f>
        <v>146996.38594054428</v>
      </c>
      <c r="M47" s="106">
        <f>'Data Property 2'!M206</f>
        <v>149936.31365935516</v>
      </c>
      <c r="N47" s="106">
        <f>'Data Property 2'!N206</f>
        <v>152935.03993254228</v>
      </c>
      <c r="O47" s="106">
        <f>'Data Property 2'!O206</f>
        <v>155993.74073119313</v>
      </c>
      <c r="P47" s="106">
        <f>'Data Property 2'!P206</f>
        <v>159113.61554581701</v>
      </c>
      <c r="Q47" s="106">
        <f>'Data Property 2'!Q206</f>
        <v>162295.88785673334</v>
      </c>
    </row>
    <row r="48" spans="1:17" hidden="1" outlineLevel="1" x14ac:dyDescent="0.2">
      <c r="A48" s="107" t="s">
        <v>35</v>
      </c>
      <c r="B48" s="189"/>
      <c r="C48" s="303">
        <f>-'Data Property 2'!C207</f>
        <v>-33456.114999999998</v>
      </c>
      <c r="D48" s="108">
        <f>-'Data Property 2'!D207</f>
        <v>-34366.315000000002</v>
      </c>
      <c r="E48" s="108">
        <f>-'Data Property 2'!E207</f>
        <v>-35294.718999999997</v>
      </c>
      <c r="F48" s="108">
        <f>-'Data Property 2'!F207</f>
        <v>-36241.691080000004</v>
      </c>
      <c r="G48" s="108">
        <f>-'Data Property 2'!G207</f>
        <v>-37207.602601599996</v>
      </c>
      <c r="H48" s="108">
        <f>-'Data Property 2'!H207</f>
        <v>-38192.832353632009</v>
      </c>
      <c r="I48" s="108">
        <f>-'Data Property 2'!I207</f>
        <v>-39197.766700704648</v>
      </c>
      <c r="J48" s="108">
        <f>-'Data Property 2'!J207</f>
        <v>-40222.799734718734</v>
      </c>
      <c r="K48" s="108">
        <f>-'Data Property 2'!K207</f>
        <v>-41268.33342941312</v>
      </c>
      <c r="L48" s="108">
        <f>-'Data Property 2'!L207</f>
        <v>-42334.777798001378</v>
      </c>
      <c r="M48" s="108">
        <f>-'Data Property 2'!M207</f>
        <v>-43422.551053961412</v>
      </c>
      <c r="N48" s="108">
        <f>-'Data Property 2'!N207</f>
        <v>-44532.079775040642</v>
      </c>
      <c r="O48" s="108">
        <f>-'Data Property 2'!O207</f>
        <v>-45663.799070541456</v>
      </c>
      <c r="P48" s="108">
        <f>-'Data Property 2'!P207</f>
        <v>-46818.152751952293</v>
      </c>
      <c r="Q48" s="108">
        <f>-'Data Property 2'!Q207</f>
        <v>-47995.593506991339</v>
      </c>
    </row>
    <row r="49" spans="1:17" hidden="1" outlineLevel="1" x14ac:dyDescent="0.2">
      <c r="A49" s="107" t="s">
        <v>139</v>
      </c>
      <c r="B49" s="81"/>
      <c r="C49" s="300">
        <f t="shared" ref="C49:Q49" si="6">C47+C48</f>
        <v>89543.885000000009</v>
      </c>
      <c r="D49" s="103">
        <f t="shared" si="6"/>
        <v>91093.684999999998</v>
      </c>
      <c r="E49" s="103">
        <f t="shared" si="6"/>
        <v>92674.481</v>
      </c>
      <c r="F49" s="103">
        <f t="shared" si="6"/>
        <v>94286.892919999998</v>
      </c>
      <c r="G49" s="103">
        <f t="shared" si="6"/>
        <v>95931.5530784</v>
      </c>
      <c r="H49" s="103">
        <f t="shared" si="6"/>
        <v>97609.106439968004</v>
      </c>
      <c r="I49" s="103">
        <f t="shared" si="6"/>
        <v>99320.210868767375</v>
      </c>
      <c r="J49" s="103">
        <f t="shared" si="6"/>
        <v>101065.53738614272</v>
      </c>
      <c r="K49" s="103">
        <f t="shared" si="6"/>
        <v>102845.77043386557</v>
      </c>
      <c r="L49" s="103">
        <f t="shared" si="6"/>
        <v>104661.6081425429</v>
      </c>
      <c r="M49" s="103">
        <f t="shared" si="6"/>
        <v>106513.76260539374</v>
      </c>
      <c r="N49" s="103">
        <f t="shared" si="6"/>
        <v>108402.96015750163</v>
      </c>
      <c r="O49" s="103">
        <f t="shared" si="6"/>
        <v>110329.94166065168</v>
      </c>
      <c r="P49" s="103">
        <f t="shared" si="6"/>
        <v>112295.46279386472</v>
      </c>
      <c r="Q49" s="103">
        <f t="shared" si="6"/>
        <v>114300.29434974201</v>
      </c>
    </row>
    <row r="50" spans="1:17" hidden="1" outlineLevel="1" x14ac:dyDescent="0.2">
      <c r="A50" s="107" t="s">
        <v>138</v>
      </c>
      <c r="B50" s="70"/>
      <c r="C50" s="302">
        <f>'Data Property 2'!C215</f>
        <v>96000</v>
      </c>
      <c r="D50" s="106">
        <f>'Data Property 2'!D215</f>
        <v>97920</v>
      </c>
      <c r="E50" s="106">
        <f>'Data Property 2'!E215</f>
        <v>99878.400000000009</v>
      </c>
      <c r="F50" s="106">
        <f>'Data Property 2'!F215</f>
        <v>101875.96800000001</v>
      </c>
      <c r="G50" s="106">
        <f>'Data Property 2'!G215</f>
        <v>103913.48736000001</v>
      </c>
      <c r="H50" s="106">
        <f>'Data Property 2'!H215</f>
        <v>105991.75710720001</v>
      </c>
      <c r="I50" s="106">
        <f>'Data Property 2'!I215</f>
        <v>108111.59224934402</v>
      </c>
      <c r="J50" s="106">
        <f>'Data Property 2'!J215</f>
        <v>110273.82409433089</v>
      </c>
      <c r="K50" s="106">
        <f>'Data Property 2'!K215</f>
        <v>112479.30057621752</v>
      </c>
      <c r="L50" s="106">
        <f>'Data Property 2'!L215</f>
        <v>114728.88658774187</v>
      </c>
      <c r="M50" s="106">
        <f>'Data Property 2'!M215</f>
        <v>117023.46431949671</v>
      </c>
      <c r="N50" s="106">
        <f>'Data Property 2'!N215</f>
        <v>119363.93360588665</v>
      </c>
      <c r="O50" s="106">
        <f>'Data Property 2'!O215</f>
        <v>121751.21227800439</v>
      </c>
      <c r="P50" s="106">
        <f>'Data Property 2'!P215</f>
        <v>124186.23652356448</v>
      </c>
      <c r="Q50" s="106">
        <f>'Data Property 2'!Q215</f>
        <v>126669.96125403578</v>
      </c>
    </row>
    <row r="51" spans="1:17" hidden="1" outlineLevel="1" x14ac:dyDescent="0.2">
      <c r="A51" s="107" t="s">
        <v>35</v>
      </c>
      <c r="B51" s="189"/>
      <c r="C51" s="303">
        <f>'Data Property 2'!C216</f>
        <v>23466.115000000002</v>
      </c>
      <c r="D51" s="108">
        <f>'Data Property 2'!D216</f>
        <v>24176.514999999999</v>
      </c>
      <c r="E51" s="108">
        <f>'Data Property 2'!E216</f>
        <v>24901.123000000003</v>
      </c>
      <c r="F51" s="108">
        <f>'Data Property 2'!F216</f>
        <v>25640.223160000001</v>
      </c>
      <c r="G51" s="108">
        <f>'Data Property 2'!G216</f>
        <v>26394.105323200005</v>
      </c>
      <c r="H51" s="108">
        <f>'Data Property 2'!H216</f>
        <v>27163.065129664006</v>
      </c>
      <c r="I51" s="108">
        <f>'Data Property 2'!I216</f>
        <v>27947.404132257288</v>
      </c>
      <c r="J51" s="108">
        <f>'Data Property 2'!J216</f>
        <v>28747.42991490243</v>
      </c>
      <c r="K51" s="108">
        <f>'Data Property 2'!K216</f>
        <v>29563.456213200479</v>
      </c>
      <c r="L51" s="108">
        <f>'Data Property 2'!L216</f>
        <v>30395.803037464495</v>
      </c>
      <c r="M51" s="108">
        <f>'Data Property 2'!M216</f>
        <v>31244.796798213782</v>
      </c>
      <c r="N51" s="108">
        <f>'Data Property 2'!N216</f>
        <v>32110.770434178059</v>
      </c>
      <c r="O51" s="108">
        <f>'Data Property 2'!O216</f>
        <v>32994.063542861622</v>
      </c>
      <c r="P51" s="108">
        <f>'Data Property 2'!P216</f>
        <v>33895.022513718861</v>
      </c>
      <c r="Q51" s="108">
        <f>'Data Property 2'!Q216</f>
        <v>34814.00066399324</v>
      </c>
    </row>
    <row r="52" spans="1:17" hidden="1" outlineLevel="1" x14ac:dyDescent="0.2">
      <c r="A52" s="109" t="s">
        <v>139</v>
      </c>
      <c r="B52" s="81"/>
      <c r="C52" s="304">
        <f t="shared" ref="C52:Q52" si="7">C50+C51</f>
        <v>119466.11500000001</v>
      </c>
      <c r="D52" s="110">
        <f t="shared" si="7"/>
        <v>122096.515</v>
      </c>
      <c r="E52" s="110">
        <f t="shared" si="7"/>
        <v>124779.52300000002</v>
      </c>
      <c r="F52" s="110">
        <f t="shared" si="7"/>
        <v>127516.19116000002</v>
      </c>
      <c r="G52" s="110">
        <f t="shared" si="7"/>
        <v>130307.59268320003</v>
      </c>
      <c r="H52" s="110">
        <f t="shared" si="7"/>
        <v>133154.82223686401</v>
      </c>
      <c r="I52" s="110">
        <f t="shared" si="7"/>
        <v>136058.99638160132</v>
      </c>
      <c r="J52" s="110">
        <f t="shared" si="7"/>
        <v>139021.25400923332</v>
      </c>
      <c r="K52" s="110">
        <f t="shared" si="7"/>
        <v>142042.756789418</v>
      </c>
      <c r="L52" s="110">
        <f t="shared" si="7"/>
        <v>145124.68962520637</v>
      </c>
      <c r="M52" s="110">
        <f t="shared" si="7"/>
        <v>148268.2611177105</v>
      </c>
      <c r="N52" s="110">
        <f t="shared" si="7"/>
        <v>151474.70404006471</v>
      </c>
      <c r="O52" s="110">
        <f t="shared" si="7"/>
        <v>154745.27582086599</v>
      </c>
      <c r="P52" s="110">
        <f t="shared" si="7"/>
        <v>158081.25903728334</v>
      </c>
      <c r="Q52" s="110">
        <f t="shared" si="7"/>
        <v>161483.961918029</v>
      </c>
    </row>
    <row r="53" spans="1:17" hidden="1" outlineLevel="1" x14ac:dyDescent="0.2">
      <c r="A53" s="78" t="s">
        <v>144</v>
      </c>
      <c r="B53" s="351"/>
      <c r="C53" s="305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1:17" hidden="1" outlineLevel="1" x14ac:dyDescent="0.2">
      <c r="A54" s="105" t="s">
        <v>137</v>
      </c>
      <c r="B54" s="70"/>
      <c r="C54" s="302">
        <f>'Data Property 2'!C209</f>
        <v>119952.23931898239</v>
      </c>
      <c r="D54" s="106">
        <f>'Data Property 2'!D209</f>
        <v>122638.026575</v>
      </c>
      <c r="E54" s="106">
        <f>'Data Property 2'!E209</f>
        <v>125476.64155617499</v>
      </c>
      <c r="F54" s="106">
        <f>'Data Property 2'!F209</f>
        <v>128323.54441836657</v>
      </c>
      <c r="G54" s="106">
        <f>'Data Property 2'!G209</f>
        <v>131206.35587671486</v>
      </c>
      <c r="H54" s="106">
        <f>'Data Property 2'!H209</f>
        <v>134280.35896413543</v>
      </c>
      <c r="I54" s="106">
        <f>'Data Property 2'!I209</f>
        <v>137228.55097280914</v>
      </c>
      <c r="J54" s="106">
        <f>'Data Property 2'!J209</f>
        <v>140225.76140468547</v>
      </c>
      <c r="K54" s="106">
        <f>'Data Property 2'!K209</f>
        <v>143292.37153995116</v>
      </c>
      <c r="L54" s="106">
        <f>'Data Property 2'!L209</f>
        <v>146384.94477747349</v>
      </c>
      <c r="M54" s="106">
        <f>'Data Property 2'!M209</f>
        <v>149553.59408384407</v>
      </c>
      <c r="N54" s="106">
        <f>'Data Property 2'!N209</f>
        <v>152785.13648939098</v>
      </c>
      <c r="O54" s="106">
        <f>'Data Property 2'!O209</f>
        <v>156101.32396498867</v>
      </c>
      <c r="P54" s="106">
        <f>'Data Property 2'!P209</f>
        <v>159445.49365133978</v>
      </c>
      <c r="Q54" s="106">
        <f>'Data Property 2'!Q209</f>
        <v>162878.14091866231</v>
      </c>
    </row>
    <row r="55" spans="1:17" hidden="1" outlineLevel="1" x14ac:dyDescent="0.2">
      <c r="A55" s="107" t="s">
        <v>35</v>
      </c>
      <c r="B55" s="47"/>
      <c r="C55" s="298">
        <f>-'Data Property 2'!C210</f>
        <v>-32352.368616183954</v>
      </c>
      <c r="D55" s="100">
        <f>-'Data Property 2'!D210</f>
        <v>-33130.679630721621</v>
      </c>
      <c r="E55" s="100">
        <f>-'Data Property 2'!E210</f>
        <v>-34196.449798365175</v>
      </c>
      <c r="F55" s="100">
        <f>-'Data Property 2'!F210</f>
        <v>-35267.893639862647</v>
      </c>
      <c r="G55" s="100">
        <f>-'Data Property 2'!G210</f>
        <v>-36349.175663226393</v>
      </c>
      <c r="H55" s="100">
        <f>-'Data Property 2'!H210</f>
        <v>-37514.23194346972</v>
      </c>
      <c r="I55" s="100">
        <f>-'Data Property 2'!I210</f>
        <v>-38623.79492318078</v>
      </c>
      <c r="J55" s="100">
        <f>-'Data Property 2'!J210</f>
        <v>-39755.554043107128</v>
      </c>
      <c r="K55" s="100">
        <f>-'Data Property 2'!K210</f>
        <v>-40908.497432896009</v>
      </c>
      <c r="L55" s="100">
        <f>-'Data Property 2'!L210</f>
        <v>-42088.271204551362</v>
      </c>
      <c r="M55" s="100">
        <f>-'Data Property 2'!M210</f>
        <v>-43283.381543895208</v>
      </c>
      <c r="N55" s="100">
        <f>-'Data Property 2'!N210</f>
        <v>-44507.495533255453</v>
      </c>
      <c r="O55" s="100">
        <f>-'Data Property 2'!O210</f>
        <v>-45757.275875182058</v>
      </c>
      <c r="P55" s="100">
        <f>-'Data Property 2'!P210</f>
        <v>-47039.383585117554</v>
      </c>
      <c r="Q55" s="100">
        <f>-'Data Property 2'!Q210</f>
        <v>-48337.019010134041</v>
      </c>
    </row>
    <row r="56" spans="1:17" hidden="1" outlineLevel="1" x14ac:dyDescent="0.2">
      <c r="A56" s="107" t="s">
        <v>143</v>
      </c>
      <c r="B56" s="81"/>
      <c r="C56" s="300">
        <f t="shared" ref="C56:Q56" si="8">C54+C55</f>
        <v>87599.870702798435</v>
      </c>
      <c r="D56" s="103">
        <f t="shared" si="8"/>
        <v>89507.346944278368</v>
      </c>
      <c r="E56" s="103">
        <f t="shared" si="8"/>
        <v>91280.191757809807</v>
      </c>
      <c r="F56" s="103">
        <f t="shared" si="8"/>
        <v>93055.650778503914</v>
      </c>
      <c r="G56" s="103">
        <f t="shared" si="8"/>
        <v>94857.180213488464</v>
      </c>
      <c r="H56" s="103">
        <f t="shared" si="8"/>
        <v>96766.127020665706</v>
      </c>
      <c r="I56" s="103">
        <f t="shared" si="8"/>
        <v>98604.75604962837</v>
      </c>
      <c r="J56" s="103">
        <f t="shared" si="8"/>
        <v>100470.20736157834</v>
      </c>
      <c r="K56" s="103">
        <f t="shared" si="8"/>
        <v>102383.87410705515</v>
      </c>
      <c r="L56" s="103">
        <f t="shared" si="8"/>
        <v>104296.67357292213</v>
      </c>
      <c r="M56" s="103">
        <f t="shared" si="8"/>
        <v>106270.21253994887</v>
      </c>
      <c r="N56" s="103">
        <f t="shared" si="8"/>
        <v>108277.64095613552</v>
      </c>
      <c r="O56" s="103">
        <f t="shared" si="8"/>
        <v>110344.0480898066</v>
      </c>
      <c r="P56" s="103">
        <f t="shared" si="8"/>
        <v>112406.11006622223</v>
      </c>
      <c r="Q56" s="103">
        <f t="shared" si="8"/>
        <v>114541.12190852826</v>
      </c>
    </row>
    <row r="57" spans="1:17" hidden="1" outlineLevel="1" x14ac:dyDescent="0.2">
      <c r="A57" s="107" t="s">
        <v>138</v>
      </c>
      <c r="B57" s="70"/>
      <c r="C57" s="302">
        <f>'Data Property 2'!C218</f>
        <v>92952.239318982392</v>
      </c>
      <c r="D57" s="106">
        <f>'Data Property 2'!D218</f>
        <v>95098.026574999996</v>
      </c>
      <c r="E57" s="106">
        <f>'Data Property 2'!E218</f>
        <v>97385.841556175001</v>
      </c>
      <c r="F57" s="106">
        <f>'Data Property 2'!F218</f>
        <v>99670.928418366588</v>
      </c>
      <c r="G57" s="106">
        <f>'Data Property 2'!G218</f>
        <v>101980.68755671487</v>
      </c>
      <c r="H57" s="106">
        <f>'Data Property 2'!H218</f>
        <v>104470.17727773543</v>
      </c>
      <c r="I57" s="106">
        <f>'Data Property 2'!I218</f>
        <v>106822.16565268116</v>
      </c>
      <c r="J57" s="106">
        <f>'Data Property 2'!J218</f>
        <v>109211.24837815491</v>
      </c>
      <c r="K57" s="106">
        <f>'Data Property 2'!K218</f>
        <v>111657.56825288999</v>
      </c>
      <c r="L57" s="106">
        <f>'Data Property 2'!L218</f>
        <v>114117.44542467108</v>
      </c>
      <c r="M57" s="106">
        <f>'Data Property 2'!M218</f>
        <v>116640.74474398562</v>
      </c>
      <c r="N57" s="106">
        <f>'Data Property 2'!N218</f>
        <v>119214.03016273536</v>
      </c>
      <c r="O57" s="106">
        <f>'Data Property 2'!O218</f>
        <v>121858.79551179992</v>
      </c>
      <c r="P57" s="106">
        <f>'Data Property 2'!P218</f>
        <v>124518.11462908724</v>
      </c>
      <c r="Q57" s="106">
        <f>'Data Property 2'!Q218</f>
        <v>127252.21431596472</v>
      </c>
    </row>
    <row r="58" spans="1:17" hidden="1" outlineLevel="1" x14ac:dyDescent="0.2">
      <c r="A58" s="107" t="s">
        <v>35</v>
      </c>
      <c r="B58" s="47"/>
      <c r="C58" s="298">
        <f>-'Data Property 2'!C219</f>
        <v>-22362.368616183954</v>
      </c>
      <c r="D58" s="100">
        <f>-'Data Property 2'!D219</f>
        <v>-22940.879630721625</v>
      </c>
      <c r="E58" s="100">
        <f>-'Data Property 2'!E219</f>
        <v>-23802.85379836518</v>
      </c>
      <c r="F58" s="100">
        <f>-'Data Property 2'!F219</f>
        <v>-24666.425719862647</v>
      </c>
      <c r="G58" s="100">
        <f>-'Data Property 2'!G219</f>
        <v>-25535.678384826402</v>
      </c>
      <c r="H58" s="100">
        <f>-'Data Property 2'!H219</f>
        <v>-26484.464719501724</v>
      </c>
      <c r="I58" s="100">
        <f>-'Data Property 2'!I219</f>
        <v>-27373.432354733424</v>
      </c>
      <c r="J58" s="100">
        <f>-'Data Property 2'!J219</f>
        <v>-28280.184223290817</v>
      </c>
      <c r="K58" s="100">
        <f>-'Data Property 2'!K219</f>
        <v>-29203.620216683372</v>
      </c>
      <c r="L58" s="100">
        <f>-'Data Property 2'!L219</f>
        <v>-30149.296444014479</v>
      </c>
      <c r="M58" s="100">
        <f>-'Data Property 2'!M219</f>
        <v>-31105.627288147585</v>
      </c>
      <c r="N58" s="100">
        <f>-'Data Property 2'!N219</f>
        <v>-32086.186192392874</v>
      </c>
      <c r="O58" s="100">
        <f>-'Data Property 2'!O219</f>
        <v>-33087.540347502225</v>
      </c>
      <c r="P58" s="100">
        <f>-'Data Property 2'!P219</f>
        <v>-34116.253346884128</v>
      </c>
      <c r="Q58" s="100">
        <f>-'Data Property 2'!Q219</f>
        <v>-35155.426167135942</v>
      </c>
    </row>
    <row r="59" spans="1:17" hidden="1" outlineLevel="1" x14ac:dyDescent="0.2">
      <c r="A59" s="109" t="s">
        <v>142</v>
      </c>
      <c r="B59" s="81"/>
      <c r="C59" s="304">
        <f t="shared" ref="C59:Q59" si="9">C57+C58</f>
        <v>70589.870702798435</v>
      </c>
      <c r="D59" s="110">
        <f t="shared" si="9"/>
        <v>72157.146944278371</v>
      </c>
      <c r="E59" s="110">
        <f t="shared" si="9"/>
        <v>73582.987757809824</v>
      </c>
      <c r="F59" s="110">
        <f t="shared" si="9"/>
        <v>75004.502698503944</v>
      </c>
      <c r="G59" s="110">
        <f t="shared" si="9"/>
        <v>76445.009171888465</v>
      </c>
      <c r="H59" s="110">
        <f t="shared" si="9"/>
        <v>77985.712558233703</v>
      </c>
      <c r="I59" s="110">
        <f t="shared" si="9"/>
        <v>79448.733297947736</v>
      </c>
      <c r="J59" s="110">
        <f t="shared" si="9"/>
        <v>80931.064154864085</v>
      </c>
      <c r="K59" s="110">
        <f t="shared" si="9"/>
        <v>82453.948036206624</v>
      </c>
      <c r="L59" s="110">
        <f t="shared" si="9"/>
        <v>83968.14898065661</v>
      </c>
      <c r="M59" s="110">
        <f t="shared" si="9"/>
        <v>85535.11745583803</v>
      </c>
      <c r="N59" s="110">
        <f t="shared" si="9"/>
        <v>87127.843970342481</v>
      </c>
      <c r="O59" s="110">
        <f t="shared" si="9"/>
        <v>88771.255164297705</v>
      </c>
      <c r="P59" s="110">
        <f t="shared" si="9"/>
        <v>90401.861282203114</v>
      </c>
      <c r="Q59" s="110">
        <f t="shared" si="9"/>
        <v>92096.788148828782</v>
      </c>
    </row>
    <row r="60" spans="1:17" collapsed="1" x14ac:dyDescent="0.2">
      <c r="A60" s="210" t="s">
        <v>241</v>
      </c>
      <c r="B60" s="352"/>
      <c r="C60" s="304">
        <f t="shared" ref="C60:Q60" si="10">C56+C59</f>
        <v>158189.74140559687</v>
      </c>
      <c r="D60" s="110">
        <f t="shared" si="10"/>
        <v>161664.49388855672</v>
      </c>
      <c r="E60" s="110">
        <f t="shared" si="10"/>
        <v>164863.17951561965</v>
      </c>
      <c r="F60" s="110">
        <f t="shared" si="10"/>
        <v>168060.15347700787</v>
      </c>
      <c r="G60" s="110">
        <f t="shared" si="10"/>
        <v>171302.18938537693</v>
      </c>
      <c r="H60" s="110">
        <f t="shared" si="10"/>
        <v>174751.83957889941</v>
      </c>
      <c r="I60" s="110">
        <f t="shared" si="10"/>
        <v>178053.48934757611</v>
      </c>
      <c r="J60" s="110">
        <f t="shared" si="10"/>
        <v>181401.27151644242</v>
      </c>
      <c r="K60" s="110">
        <f t="shared" si="10"/>
        <v>184837.82214326179</v>
      </c>
      <c r="L60" s="110">
        <f t="shared" si="10"/>
        <v>188264.82255357874</v>
      </c>
      <c r="M60" s="110">
        <f t="shared" si="10"/>
        <v>191805.32999578689</v>
      </c>
      <c r="N60" s="110">
        <f t="shared" si="10"/>
        <v>195405.48492647801</v>
      </c>
      <c r="O60" s="110">
        <f t="shared" si="10"/>
        <v>199115.30325410431</v>
      </c>
      <c r="P60" s="110">
        <f t="shared" si="10"/>
        <v>202807.97134842534</v>
      </c>
      <c r="Q60" s="110">
        <f t="shared" si="10"/>
        <v>206637.91005735705</v>
      </c>
    </row>
    <row r="61" spans="1:17" x14ac:dyDescent="0.2">
      <c r="A61" s="73" t="s">
        <v>160</v>
      </c>
      <c r="B61" s="342"/>
      <c r="C61" s="306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1:17" hidden="1" outlineLevel="1" x14ac:dyDescent="0.2">
      <c r="A62" s="83" t="s">
        <v>140</v>
      </c>
      <c r="B62" s="60"/>
      <c r="C62" s="296">
        <f t="shared" ref="C62:Q62" si="11">-C48+C55</f>
        <v>1103.7463838160438</v>
      </c>
      <c r="D62" s="97">
        <f t="shared" si="11"/>
        <v>1235.6353692783814</v>
      </c>
      <c r="E62" s="97">
        <f t="shared" si="11"/>
        <v>1098.2692016348228</v>
      </c>
      <c r="F62" s="97">
        <f t="shared" si="11"/>
        <v>973.79744013735763</v>
      </c>
      <c r="G62" s="97">
        <f t="shared" si="11"/>
        <v>858.42693837360275</v>
      </c>
      <c r="H62" s="97">
        <f t="shared" si="11"/>
        <v>678.60041016228934</v>
      </c>
      <c r="I62" s="97">
        <f t="shared" si="11"/>
        <v>573.97177752386779</v>
      </c>
      <c r="J62" s="97">
        <f t="shared" si="11"/>
        <v>467.24569161160616</v>
      </c>
      <c r="K62" s="97">
        <f t="shared" si="11"/>
        <v>359.8359965171112</v>
      </c>
      <c r="L62" s="97">
        <f t="shared" si="11"/>
        <v>246.50659345001623</v>
      </c>
      <c r="M62" s="97">
        <f t="shared" si="11"/>
        <v>139.16951006620366</v>
      </c>
      <c r="N62" s="97">
        <f t="shared" si="11"/>
        <v>24.584241785189079</v>
      </c>
      <c r="O62" s="97">
        <f t="shared" si="11"/>
        <v>-93.476804640602495</v>
      </c>
      <c r="P62" s="97">
        <f t="shared" si="11"/>
        <v>-221.23083316526026</v>
      </c>
      <c r="Q62" s="97">
        <f t="shared" si="11"/>
        <v>-341.42550314270193</v>
      </c>
    </row>
    <row r="63" spans="1:17" hidden="1" outlineLevel="1" x14ac:dyDescent="0.2">
      <c r="A63" s="85" t="s">
        <v>141</v>
      </c>
      <c r="B63" s="76"/>
      <c r="C63" s="299">
        <f t="shared" ref="C63:Q63" si="12">-C51+C58</f>
        <v>-45828.483616183956</v>
      </c>
      <c r="D63" s="101">
        <f t="shared" si="12"/>
        <v>-47117.394630721625</v>
      </c>
      <c r="E63" s="101">
        <f t="shared" si="12"/>
        <v>-48703.976798365184</v>
      </c>
      <c r="F63" s="101">
        <f t="shared" si="12"/>
        <v>-50306.648879862652</v>
      </c>
      <c r="G63" s="101">
        <f t="shared" si="12"/>
        <v>-51929.783708026407</v>
      </c>
      <c r="H63" s="101">
        <f t="shared" si="12"/>
        <v>-53647.52984916573</v>
      </c>
      <c r="I63" s="101">
        <f t="shared" si="12"/>
        <v>-55320.836486990709</v>
      </c>
      <c r="J63" s="101">
        <f t="shared" si="12"/>
        <v>-57027.614138193247</v>
      </c>
      <c r="K63" s="101">
        <f t="shared" si="12"/>
        <v>-58767.076429883848</v>
      </c>
      <c r="L63" s="101">
        <f t="shared" si="12"/>
        <v>-60545.099481478974</v>
      </c>
      <c r="M63" s="101">
        <f t="shared" si="12"/>
        <v>-62350.424086361367</v>
      </c>
      <c r="N63" s="101">
        <f t="shared" si="12"/>
        <v>-64196.956626570929</v>
      </c>
      <c r="O63" s="101">
        <f t="shared" si="12"/>
        <v>-66081.603890363855</v>
      </c>
      <c r="P63" s="101">
        <f t="shared" si="12"/>
        <v>-68011.275860602997</v>
      </c>
      <c r="Q63" s="101">
        <f t="shared" si="12"/>
        <v>-69969.426831129182</v>
      </c>
    </row>
    <row r="64" spans="1:17" collapsed="1" x14ac:dyDescent="0.2">
      <c r="A64" s="111" t="s">
        <v>44</v>
      </c>
      <c r="B64" s="353"/>
      <c r="C64" s="307">
        <f t="shared" ref="C64:Q64" si="13">C62+C63</f>
        <v>-44724.737232367916</v>
      </c>
      <c r="D64" s="112">
        <f t="shared" si="13"/>
        <v>-45881.759261443243</v>
      </c>
      <c r="E64" s="112">
        <f t="shared" si="13"/>
        <v>-47605.707596730361</v>
      </c>
      <c r="F64" s="112">
        <f t="shared" si="13"/>
        <v>-49332.851439725295</v>
      </c>
      <c r="G64" s="112">
        <f t="shared" si="13"/>
        <v>-51071.356769652804</v>
      </c>
      <c r="H64" s="112">
        <f t="shared" si="13"/>
        <v>-52968.929439003441</v>
      </c>
      <c r="I64" s="112">
        <f t="shared" si="13"/>
        <v>-54746.864709466841</v>
      </c>
      <c r="J64" s="112">
        <f t="shared" si="13"/>
        <v>-56560.36844658164</v>
      </c>
      <c r="K64" s="112">
        <f t="shared" si="13"/>
        <v>-58407.240433366736</v>
      </c>
      <c r="L64" s="112">
        <f t="shared" si="13"/>
        <v>-60298.592888028958</v>
      </c>
      <c r="M64" s="112">
        <f t="shared" si="13"/>
        <v>-62211.254576295163</v>
      </c>
      <c r="N64" s="112">
        <f t="shared" si="13"/>
        <v>-64172.37238478574</v>
      </c>
      <c r="O64" s="112">
        <f t="shared" si="13"/>
        <v>-66175.080695004464</v>
      </c>
      <c r="P64" s="112">
        <f t="shared" si="13"/>
        <v>-68232.506693768257</v>
      </c>
      <c r="Q64" s="112">
        <f t="shared" si="13"/>
        <v>-70310.852334271884</v>
      </c>
    </row>
    <row r="65" spans="1:17" x14ac:dyDescent="0.2">
      <c r="A65" s="76"/>
      <c r="B65" s="76"/>
      <c r="C65" s="308"/>
      <c r="D65" s="189"/>
      <c r="E65" s="189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</row>
    <row r="66" spans="1:17" x14ac:dyDescent="0.2">
      <c r="A66" s="104" t="s">
        <v>130</v>
      </c>
      <c r="B66" s="350"/>
      <c r="C66" s="309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</row>
    <row r="67" spans="1:17" x14ac:dyDescent="0.2">
      <c r="A67" s="96" t="str">
        <f>A44</f>
        <v>Total Property Loss (Gain)</v>
      </c>
      <c r="B67" s="346"/>
      <c r="C67" s="296">
        <f t="shared" ref="C67:Q67" si="14">C41</f>
        <v>-858.52136203522514</v>
      </c>
      <c r="D67" s="97">
        <f t="shared" si="14"/>
        <v>-856.94684999999663</v>
      </c>
      <c r="E67" s="97">
        <f t="shared" si="14"/>
        <v>-513.11688765000144</v>
      </c>
      <c r="F67" s="97">
        <f t="shared" si="14"/>
        <v>-158.57916326685518</v>
      </c>
      <c r="G67" s="97">
        <f t="shared" si="14"/>
        <v>231.55039342971213</v>
      </c>
      <c r="H67" s="97">
        <f t="shared" si="14"/>
        <v>583.94534107083018</v>
      </c>
      <c r="I67" s="97">
        <f t="shared" si="14"/>
        <v>972.62030667427462</v>
      </c>
      <c r="J67" s="97">
        <f t="shared" si="14"/>
        <v>1373.3800176480254</v>
      </c>
      <c r="K67" s="97">
        <f t="shared" si="14"/>
        <v>1818.0073683449409</v>
      </c>
      <c r="L67" s="97">
        <f t="shared" si="14"/>
        <v>2212.6480843584068</v>
      </c>
      <c r="M67" s="97">
        <f t="shared" si="14"/>
        <v>2651.932136327825</v>
      </c>
      <c r="N67" s="97">
        <f t="shared" si="14"/>
        <v>3104.8530148424288</v>
      </c>
      <c r="O67" s="97">
        <f t="shared" si="14"/>
        <v>3610.9283983925779</v>
      </c>
      <c r="P67" s="97">
        <f t="shared" si="14"/>
        <v>4053.2895626065838</v>
      </c>
      <c r="Q67" s="97">
        <f t="shared" si="14"/>
        <v>4549.6794699506318</v>
      </c>
    </row>
    <row r="68" spans="1:17" x14ac:dyDescent="0.2">
      <c r="A68" s="98" t="s">
        <v>131</v>
      </c>
      <c r="B68" s="348"/>
      <c r="C68" s="310">
        <f t="shared" ref="C68:Q68" si="15">C64</f>
        <v>-44724.737232367916</v>
      </c>
      <c r="D68" s="114">
        <f t="shared" si="15"/>
        <v>-45881.759261443243</v>
      </c>
      <c r="E68" s="114">
        <f t="shared" si="15"/>
        <v>-47605.707596730361</v>
      </c>
      <c r="F68" s="114">
        <f t="shared" si="15"/>
        <v>-49332.851439725295</v>
      </c>
      <c r="G68" s="114">
        <f t="shared" si="15"/>
        <v>-51071.356769652804</v>
      </c>
      <c r="H68" s="114">
        <f t="shared" si="15"/>
        <v>-52968.929439003441</v>
      </c>
      <c r="I68" s="114">
        <f t="shared" si="15"/>
        <v>-54746.864709466841</v>
      </c>
      <c r="J68" s="114">
        <f t="shared" si="15"/>
        <v>-56560.36844658164</v>
      </c>
      <c r="K68" s="114">
        <f t="shared" si="15"/>
        <v>-58407.240433366736</v>
      </c>
      <c r="L68" s="114">
        <f t="shared" si="15"/>
        <v>-60298.592888028958</v>
      </c>
      <c r="M68" s="114">
        <f t="shared" si="15"/>
        <v>-62211.254576295163</v>
      </c>
      <c r="N68" s="114">
        <f t="shared" si="15"/>
        <v>-64172.37238478574</v>
      </c>
      <c r="O68" s="114">
        <f t="shared" si="15"/>
        <v>-66175.080695004464</v>
      </c>
      <c r="P68" s="114">
        <f t="shared" si="15"/>
        <v>-68232.506693768257</v>
      </c>
      <c r="Q68" s="114">
        <f t="shared" si="15"/>
        <v>-70310.852334271884</v>
      </c>
    </row>
    <row r="69" spans="1:17" x14ac:dyDescent="0.2">
      <c r="A69" s="98"/>
      <c r="B69" s="348"/>
      <c r="C69" s="310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</row>
    <row r="70" spans="1:17" ht="15.75" x14ac:dyDescent="0.25">
      <c r="A70" s="115" t="s">
        <v>132</v>
      </c>
      <c r="B70" s="354"/>
      <c r="C70" s="311">
        <f t="shared" ref="C70:Q70" si="16">-(C67+C68)</f>
        <v>45583.258594403138</v>
      </c>
      <c r="D70" s="116">
        <f t="shared" si="16"/>
        <v>46738.706111443244</v>
      </c>
      <c r="E70" s="116">
        <f t="shared" si="16"/>
        <v>48118.824484380362</v>
      </c>
      <c r="F70" s="116">
        <f t="shared" si="16"/>
        <v>49491.43060299215</v>
      </c>
      <c r="G70" s="116">
        <f t="shared" si="16"/>
        <v>50839.806376223089</v>
      </c>
      <c r="H70" s="116">
        <f t="shared" si="16"/>
        <v>52384.984097932611</v>
      </c>
      <c r="I70" s="116">
        <f t="shared" si="16"/>
        <v>53774.244402792567</v>
      </c>
      <c r="J70" s="116">
        <f t="shared" si="16"/>
        <v>55186.988428933619</v>
      </c>
      <c r="K70" s="116">
        <f t="shared" si="16"/>
        <v>56589.233065021792</v>
      </c>
      <c r="L70" s="116">
        <f t="shared" si="16"/>
        <v>58085.944803670551</v>
      </c>
      <c r="M70" s="116">
        <f t="shared" si="16"/>
        <v>59559.322439967335</v>
      </c>
      <c r="N70" s="116">
        <f t="shared" si="16"/>
        <v>61067.519369943315</v>
      </c>
      <c r="O70" s="116">
        <f t="shared" si="16"/>
        <v>62564.152296611886</v>
      </c>
      <c r="P70" s="116">
        <f t="shared" si="16"/>
        <v>64179.217131161669</v>
      </c>
      <c r="Q70" s="116">
        <f t="shared" si="16"/>
        <v>65761.172864321255</v>
      </c>
    </row>
    <row r="71" spans="1:17" ht="15.75" x14ac:dyDescent="0.25">
      <c r="A71" s="117" t="s">
        <v>133</v>
      </c>
      <c r="B71" s="355"/>
      <c r="C71" s="312">
        <f>C70/'Input Property 2'!$B$64</f>
        <v>872.40686305077782</v>
      </c>
      <c r="D71" s="118">
        <f>D70/'Input Property 2'!$B$64</f>
        <v>894.52069112810034</v>
      </c>
      <c r="E71" s="118">
        <f>E70/'Input Property 2'!$B$64</f>
        <v>920.93443989244713</v>
      </c>
      <c r="F71" s="118">
        <f>F70/'Input Property 2'!$B$64</f>
        <v>947.20441345439519</v>
      </c>
      <c r="G71" s="118">
        <f>G70/'Input Property 2'!$B$64</f>
        <v>973.01064834876729</v>
      </c>
      <c r="H71" s="118">
        <f>H70/'Input Property 2'!$B$64</f>
        <v>1002.5834277116289</v>
      </c>
      <c r="I71" s="118">
        <f>I70/'Input Property 2'!$B$64</f>
        <v>1029.1721416802404</v>
      </c>
      <c r="J71" s="118">
        <f>J70/'Input Property 2'!$B$64</f>
        <v>1056.2103048599736</v>
      </c>
      <c r="K71" s="118">
        <f>K70/'Input Property 2'!$B$64</f>
        <v>1083.0475227755367</v>
      </c>
      <c r="L71" s="118">
        <f>L70/'Input Property 2'!$B$64</f>
        <v>1111.6927235152259</v>
      </c>
      <c r="M71" s="118">
        <f>M70/'Input Property 2'!$B$64</f>
        <v>1139.891338563968</v>
      </c>
      <c r="N71" s="118">
        <f>N70/'Input Property 2'!$B$64</f>
        <v>1168.7563515778625</v>
      </c>
      <c r="O71" s="118">
        <f>O70/'Input Property 2'!$B$64</f>
        <v>1197.4000439542945</v>
      </c>
      <c r="P71" s="118">
        <f>P70/'Input Property 2'!$B$64</f>
        <v>1228.3103757160129</v>
      </c>
      <c r="Q71" s="118">
        <f>Q70/'Input Property 2'!$B$64</f>
        <v>1258.5870404654786</v>
      </c>
    </row>
    <row r="72" spans="1:17" x14ac:dyDescent="0.2">
      <c r="A72" s="76"/>
      <c r="B72" s="76"/>
      <c r="C72" s="308"/>
      <c r="D72" s="189"/>
      <c r="E72" s="189"/>
      <c r="F72" s="189"/>
      <c r="G72" s="189"/>
      <c r="H72" s="189"/>
      <c r="I72" s="189"/>
      <c r="J72" s="189"/>
      <c r="K72" s="189"/>
      <c r="L72" s="189"/>
      <c r="M72" s="189"/>
      <c r="N72" s="189"/>
      <c r="O72" s="189"/>
      <c r="P72" s="189"/>
      <c r="Q72" s="189"/>
    </row>
    <row r="73" spans="1:17" x14ac:dyDescent="0.2">
      <c r="A73" s="52" t="s">
        <v>134</v>
      </c>
      <c r="B73" s="52"/>
      <c r="C73" s="313">
        <f t="shared" ref="C73:Q73" si="17">C36</f>
        <v>2877.1428571428569</v>
      </c>
      <c r="D73" s="53">
        <f t="shared" si="17"/>
        <v>19997.88</v>
      </c>
      <c r="E73" s="53">
        <f t="shared" si="17"/>
        <v>20577.818519999997</v>
      </c>
      <c r="F73" s="53">
        <f t="shared" si="17"/>
        <v>21174.575257079996</v>
      </c>
      <c r="G73" s="53">
        <f t="shared" si="17"/>
        <v>21849.500056684854</v>
      </c>
      <c r="H73" s="53">
        <f t="shared" si="17"/>
        <v>22420.508439781835</v>
      </c>
      <c r="I73" s="53">
        <f t="shared" si="17"/>
        <v>23070.703184535509</v>
      </c>
      <c r="J73" s="53">
        <f t="shared" si="17"/>
        <v>23739.753576887033</v>
      </c>
      <c r="K73" s="53">
        <f t="shared" si="17"/>
        <v>24496.441644110098</v>
      </c>
      <c r="L73" s="53">
        <f t="shared" si="17"/>
        <v>25136.624417104642</v>
      </c>
      <c r="M73" s="53">
        <f t="shared" si="17"/>
        <v>25865.586525200673</v>
      </c>
      <c r="N73" s="53">
        <f t="shared" si="17"/>
        <v>26615.688534431491</v>
      </c>
      <c r="O73" s="53">
        <f t="shared" si="17"/>
        <v>27464.045020091813</v>
      </c>
      <c r="P73" s="53">
        <f t="shared" si="17"/>
        <v>28181.782263485969</v>
      </c>
      <c r="Q73" s="53">
        <f t="shared" si="17"/>
        <v>28999.053949127057</v>
      </c>
    </row>
    <row r="74" spans="1:17" x14ac:dyDescent="0.2">
      <c r="A74" s="52" t="s">
        <v>135</v>
      </c>
      <c r="B74" s="356"/>
      <c r="C74" s="314">
        <f t="shared" ref="C74:Q74" si="18">IF(C68&lt;0,0,C68)</f>
        <v>0</v>
      </c>
      <c r="D74" s="54">
        <f t="shared" si="18"/>
        <v>0</v>
      </c>
      <c r="E74" s="54">
        <f t="shared" si="18"/>
        <v>0</v>
      </c>
      <c r="F74" s="54">
        <f t="shared" si="18"/>
        <v>0</v>
      </c>
      <c r="G74" s="54">
        <f t="shared" si="18"/>
        <v>0</v>
      </c>
      <c r="H74" s="54">
        <f t="shared" si="18"/>
        <v>0</v>
      </c>
      <c r="I74" s="54">
        <f t="shared" si="18"/>
        <v>0</v>
      </c>
      <c r="J74" s="54">
        <f t="shared" si="18"/>
        <v>0</v>
      </c>
      <c r="K74" s="54">
        <f t="shared" si="18"/>
        <v>0</v>
      </c>
      <c r="L74" s="54">
        <f t="shared" si="18"/>
        <v>0</v>
      </c>
      <c r="M74" s="54">
        <f t="shared" si="18"/>
        <v>0</v>
      </c>
      <c r="N74" s="54">
        <f t="shared" si="18"/>
        <v>0</v>
      </c>
      <c r="O74" s="54">
        <f t="shared" si="18"/>
        <v>0</v>
      </c>
      <c r="P74" s="54">
        <f t="shared" si="18"/>
        <v>0</v>
      </c>
      <c r="Q74" s="54">
        <f t="shared" si="18"/>
        <v>0</v>
      </c>
    </row>
    <row r="75" spans="1:17" x14ac:dyDescent="0.2">
      <c r="A75" s="52" t="s">
        <v>136</v>
      </c>
      <c r="B75" s="357"/>
      <c r="C75" s="315">
        <f t="shared" ref="C75:Q75" si="19">IF(C70&gt;0,C70,0)</f>
        <v>45583.258594403138</v>
      </c>
      <c r="D75" s="59">
        <f t="shared" si="19"/>
        <v>46738.706111443244</v>
      </c>
      <c r="E75" s="59">
        <f t="shared" si="19"/>
        <v>48118.824484380362</v>
      </c>
      <c r="F75" s="59">
        <f t="shared" si="19"/>
        <v>49491.43060299215</v>
      </c>
      <c r="G75" s="59">
        <f t="shared" si="19"/>
        <v>50839.806376223089</v>
      </c>
      <c r="H75" s="59">
        <f t="shared" si="19"/>
        <v>52384.984097932611</v>
      </c>
      <c r="I75" s="59">
        <f t="shared" si="19"/>
        <v>53774.244402792567</v>
      </c>
      <c r="J75" s="59">
        <f t="shared" si="19"/>
        <v>55186.988428933619</v>
      </c>
      <c r="K75" s="59">
        <f t="shared" si="19"/>
        <v>56589.233065021792</v>
      </c>
      <c r="L75" s="59">
        <f t="shared" si="19"/>
        <v>58085.944803670551</v>
      </c>
      <c r="M75" s="59">
        <f t="shared" si="19"/>
        <v>59559.322439967335</v>
      </c>
      <c r="N75" s="59">
        <f t="shared" si="19"/>
        <v>61067.519369943315</v>
      </c>
      <c r="O75" s="59">
        <f t="shared" si="19"/>
        <v>62564.152296611886</v>
      </c>
      <c r="P75" s="59">
        <f t="shared" si="19"/>
        <v>64179.217131161669</v>
      </c>
      <c r="Q75" s="59">
        <f t="shared" si="19"/>
        <v>65761.172864321255</v>
      </c>
    </row>
    <row r="76" spans="1:17" ht="13.5" thickBot="1" x14ac:dyDescent="0.25">
      <c r="A76" s="48" t="s">
        <v>86</v>
      </c>
      <c r="B76" s="358"/>
      <c r="C76" s="316">
        <f t="shared" ref="C76:Q76" si="20">SUM(C73:C75)</f>
        <v>48460.401451545993</v>
      </c>
      <c r="D76" s="61">
        <f t="shared" si="20"/>
        <v>66736.586111443248</v>
      </c>
      <c r="E76" s="61">
        <f t="shared" si="20"/>
        <v>68696.643004380356</v>
      </c>
      <c r="F76" s="61">
        <f t="shared" si="20"/>
        <v>70666.005860072153</v>
      </c>
      <c r="G76" s="61">
        <f t="shared" si="20"/>
        <v>72689.306432907935</v>
      </c>
      <c r="H76" s="61">
        <f t="shared" si="20"/>
        <v>74805.492537714454</v>
      </c>
      <c r="I76" s="61">
        <f t="shared" si="20"/>
        <v>76844.947587328075</v>
      </c>
      <c r="J76" s="61">
        <f t="shared" si="20"/>
        <v>78926.742005820648</v>
      </c>
      <c r="K76" s="61">
        <f t="shared" si="20"/>
        <v>81085.674709131883</v>
      </c>
      <c r="L76" s="61">
        <f t="shared" si="20"/>
        <v>83222.569220775185</v>
      </c>
      <c r="M76" s="61">
        <f t="shared" si="20"/>
        <v>85424.908965168011</v>
      </c>
      <c r="N76" s="61">
        <f t="shared" si="20"/>
        <v>87683.207904374809</v>
      </c>
      <c r="O76" s="61">
        <f t="shared" si="20"/>
        <v>90028.197316703707</v>
      </c>
      <c r="P76" s="61">
        <f t="shared" si="20"/>
        <v>92360.999394647632</v>
      </c>
      <c r="Q76" s="61">
        <f t="shared" si="20"/>
        <v>94760.226813448317</v>
      </c>
    </row>
    <row r="77" spans="1:17" ht="13.5" thickTop="1" x14ac:dyDescent="0.2">
      <c r="B77" s="359"/>
      <c r="C77" s="198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</row>
    <row r="78" spans="1:17" x14ac:dyDescent="0.2">
      <c r="A78" s="46" t="s">
        <v>159</v>
      </c>
      <c r="C78" s="317">
        <f>'Data Property 2'!C161-'Input Property 2'!B20</f>
        <v>60</v>
      </c>
      <c r="D78" s="68">
        <f>'Data Property 2'!D161-'Data Property 2'!C161</f>
        <v>365</v>
      </c>
      <c r="E78" s="68">
        <f>'Data Property 2'!E161-'Data Property 2'!D161</f>
        <v>365</v>
      </c>
      <c r="F78" s="68">
        <f>'Data Property 2'!F161-'Data Property 2'!E161</f>
        <v>365</v>
      </c>
      <c r="G78" s="68">
        <f>'Data Property 2'!G161-'Data Property 2'!F161</f>
        <v>366</v>
      </c>
      <c r="H78" s="68">
        <f>'Data Property 2'!H161-'Data Property 2'!G161</f>
        <v>365</v>
      </c>
      <c r="I78" s="68">
        <f>'Data Property 2'!I161-'Data Property 2'!H161</f>
        <v>365</v>
      </c>
      <c r="J78" s="68">
        <f>'Data Property 2'!J161-'Data Property 2'!I161</f>
        <v>365</v>
      </c>
      <c r="K78" s="68">
        <f>'Data Property 2'!K161-'Data Property 2'!J161</f>
        <v>366</v>
      </c>
      <c r="L78" s="68">
        <f>'Data Property 2'!L161-'Data Property 2'!K161</f>
        <v>365</v>
      </c>
      <c r="M78" s="68">
        <f>'Data Property 2'!M161-'Data Property 2'!L161</f>
        <v>365</v>
      </c>
      <c r="N78" s="68">
        <f>'Data Property 2'!N161-'Data Property 2'!M161</f>
        <v>365</v>
      </c>
      <c r="O78" s="68">
        <f>'Data Property 2'!O161-'Data Property 2'!N161</f>
        <v>366</v>
      </c>
      <c r="P78" s="68">
        <f>'Data Property 2'!P161-'Data Property 2'!O161</f>
        <v>365</v>
      </c>
      <c r="Q78" s="68">
        <f>'Data Property 2'!Q161-'Data Property 2'!P161</f>
        <v>365</v>
      </c>
    </row>
    <row r="79" spans="1:17" x14ac:dyDescent="0.2">
      <c r="A79" s="46" t="s">
        <v>152</v>
      </c>
      <c r="C79" s="318">
        <f t="shared" ref="C79:Q79" si="21">C78-(C35*7)</f>
        <v>-297</v>
      </c>
      <c r="D79" s="65">
        <f t="shared" si="21"/>
        <v>8</v>
      </c>
      <c r="E79" s="65">
        <f t="shared" si="21"/>
        <v>8</v>
      </c>
      <c r="F79" s="65">
        <f t="shared" si="21"/>
        <v>8</v>
      </c>
      <c r="G79" s="65">
        <f t="shared" si="21"/>
        <v>9</v>
      </c>
      <c r="H79" s="65">
        <f t="shared" si="21"/>
        <v>8</v>
      </c>
      <c r="I79" s="65">
        <f t="shared" si="21"/>
        <v>8</v>
      </c>
      <c r="J79" s="65">
        <f t="shared" si="21"/>
        <v>8</v>
      </c>
      <c r="K79" s="65">
        <f t="shared" si="21"/>
        <v>9</v>
      </c>
      <c r="L79" s="65">
        <f t="shared" si="21"/>
        <v>8</v>
      </c>
      <c r="M79" s="65">
        <f t="shared" si="21"/>
        <v>8</v>
      </c>
      <c r="N79" s="65">
        <f t="shared" si="21"/>
        <v>8</v>
      </c>
      <c r="O79" s="65">
        <f t="shared" si="21"/>
        <v>9</v>
      </c>
      <c r="P79" s="65">
        <f t="shared" si="21"/>
        <v>8</v>
      </c>
      <c r="Q79" s="65">
        <f t="shared" si="21"/>
        <v>8</v>
      </c>
    </row>
    <row r="80" spans="1:17" x14ac:dyDescent="0.2">
      <c r="A80" s="49" t="s">
        <v>116</v>
      </c>
      <c r="B80" s="49"/>
      <c r="C80" s="319">
        <f>C40/'Input Property 2'!$B$5*365/C78</f>
        <v>3.7974049266926393E-2</v>
      </c>
      <c r="D80" s="50">
        <f>D40/'Input Property 2'!$B$5</f>
        <v>4.3387819747890043E-2</v>
      </c>
      <c r="E80" s="50">
        <f>E40/'Input Property 2'!$B$5</f>
        <v>4.4646066520578849E-2</v>
      </c>
      <c r="F80" s="50">
        <f>F40/'Input Property 2'!$B$5</f>
        <v>4.5940802449675633E-2</v>
      </c>
      <c r="G80" s="50">
        <f>G40/'Input Property 2'!$B$5</f>
        <v>4.7405133446193085E-2</v>
      </c>
      <c r="H80" s="50">
        <f>H40/'Input Property 2'!$B$5</f>
        <v>4.8644005206616985E-2</v>
      </c>
      <c r="I80" s="50">
        <f>I40/'Input Property 2'!$B$5</f>
        <v>5.0054681357608877E-2</v>
      </c>
      <c r="J80" s="50">
        <f>J40/'Input Property 2'!$B$5</f>
        <v>5.1506267116979525E-2</v>
      </c>
      <c r="K80" s="50">
        <f>K40/'Input Property 2'!$B$5</f>
        <v>5.3147993413269617E-2</v>
      </c>
      <c r="L80" s="50">
        <f>L40/'Input Property 2'!$B$5</f>
        <v>5.4536947380409713E-2</v>
      </c>
      <c r="M80" s="50">
        <f>M40/'Input Property 2'!$B$5</f>
        <v>5.6118518854441593E-2</v>
      </c>
      <c r="N80" s="50">
        <f>N40/'Input Property 2'!$B$5</f>
        <v>5.7745955901220392E-2</v>
      </c>
      <c r="O80" s="50">
        <f>O40/'Input Property 2'!$B$5</f>
        <v>5.9586567920183575E-2</v>
      </c>
      <c r="P80" s="50">
        <f>P40/'Input Property 2'!$B$5</f>
        <v>6.1143785692404092E-2</v>
      </c>
      <c r="Q80" s="50">
        <f>Q40/'Input Property 2'!$B$5</f>
        <v>6.2916955477483799E-2</v>
      </c>
    </row>
    <row r="81" spans="1:10" x14ac:dyDescent="0.2">
      <c r="A81" s="76"/>
      <c r="B81" s="76"/>
      <c r="C81" s="308"/>
      <c r="D81" s="204"/>
      <c r="E81" s="252"/>
      <c r="F81" s="253"/>
      <c r="G81" s="205"/>
      <c r="H81" s="206"/>
      <c r="I81" s="207"/>
      <c r="J81" s="76"/>
    </row>
    <row r="82" spans="1:10" x14ac:dyDescent="0.2">
      <c r="A82" s="76"/>
      <c r="B82" s="76"/>
      <c r="C82" s="308"/>
      <c r="D82" s="204"/>
      <c r="E82" s="252"/>
      <c r="F82" s="253"/>
      <c r="G82" s="205"/>
      <c r="H82" s="206"/>
      <c r="I82" s="207"/>
      <c r="J82" s="76"/>
    </row>
    <row r="83" spans="1:10" x14ac:dyDescent="0.2">
      <c r="A83" s="76"/>
      <c r="B83" s="76"/>
      <c r="C83" s="308"/>
      <c r="D83" s="204"/>
      <c r="E83" s="252"/>
      <c r="F83" s="253"/>
      <c r="G83" s="205"/>
      <c r="H83" s="206"/>
      <c r="I83" s="207"/>
      <c r="J83" s="76"/>
    </row>
    <row r="84" spans="1:10" x14ac:dyDescent="0.2">
      <c r="A84" s="76"/>
      <c r="B84" s="76"/>
      <c r="C84" s="308"/>
      <c r="D84" s="204"/>
      <c r="E84" s="252"/>
      <c r="F84" s="253"/>
      <c r="G84" s="205"/>
      <c r="H84" s="206"/>
      <c r="I84" s="207"/>
      <c r="J84" s="76"/>
    </row>
    <row r="85" spans="1:10" x14ac:dyDescent="0.2">
      <c r="A85" s="76"/>
      <c r="B85" s="76"/>
      <c r="C85" s="308"/>
      <c r="D85" s="204"/>
      <c r="E85" s="252"/>
      <c r="F85" s="253"/>
      <c r="G85" s="205"/>
      <c r="H85" s="206"/>
      <c r="I85" s="207"/>
      <c r="J85" s="76"/>
    </row>
    <row r="86" spans="1:10" x14ac:dyDescent="0.2">
      <c r="A86" s="76"/>
      <c r="B86" s="76"/>
      <c r="C86" s="308"/>
      <c r="D86" s="204"/>
      <c r="E86" s="252"/>
      <c r="F86" s="253"/>
      <c r="G86" s="205"/>
      <c r="H86" s="206"/>
      <c r="I86" s="207"/>
      <c r="J86" s="76"/>
    </row>
    <row r="87" spans="1:10" x14ac:dyDescent="0.2">
      <c r="A87" s="76"/>
      <c r="B87" s="76"/>
      <c r="C87" s="308"/>
      <c r="D87" s="204"/>
      <c r="E87" s="252"/>
      <c r="F87" s="253"/>
      <c r="G87" s="205"/>
      <c r="H87" s="206"/>
      <c r="I87" s="207"/>
      <c r="J87" s="76"/>
    </row>
    <row r="88" spans="1:10" x14ac:dyDescent="0.2">
      <c r="A88" s="76"/>
      <c r="B88" s="76"/>
      <c r="C88" s="308"/>
      <c r="D88" s="204"/>
      <c r="E88" s="252"/>
      <c r="F88" s="253"/>
      <c r="G88" s="205"/>
      <c r="H88" s="206"/>
      <c r="I88" s="207"/>
      <c r="J88" s="76"/>
    </row>
    <row r="89" spans="1:10" x14ac:dyDescent="0.2">
      <c r="A89" s="76"/>
      <c r="B89" s="76"/>
      <c r="C89" s="308"/>
      <c r="D89" s="204"/>
      <c r="E89" s="252"/>
      <c r="F89" s="253"/>
      <c r="G89" s="205"/>
      <c r="H89" s="206"/>
      <c r="I89" s="207"/>
      <c r="J89" s="76"/>
    </row>
    <row r="90" spans="1:10" x14ac:dyDescent="0.2">
      <c r="A90" s="76"/>
      <c r="B90" s="76"/>
      <c r="C90" s="308"/>
      <c r="D90" s="204"/>
      <c r="E90" s="252"/>
      <c r="F90" s="253"/>
      <c r="G90" s="205"/>
      <c r="H90" s="206"/>
      <c r="I90" s="207"/>
      <c r="J90" s="76"/>
    </row>
    <row r="91" spans="1:10" x14ac:dyDescent="0.2">
      <c r="A91" s="76"/>
      <c r="B91" s="76"/>
      <c r="C91" s="308"/>
      <c r="D91" s="204"/>
      <c r="E91" s="252"/>
      <c r="F91" s="253"/>
      <c r="G91" s="205"/>
      <c r="H91" s="206"/>
      <c r="I91" s="207"/>
      <c r="J91" s="76"/>
    </row>
    <row r="92" spans="1:10" x14ac:dyDescent="0.2">
      <c r="A92" s="76"/>
      <c r="B92" s="76"/>
      <c r="C92" s="308"/>
      <c r="D92" s="204"/>
      <c r="E92" s="252"/>
      <c r="F92" s="253"/>
      <c r="G92" s="205"/>
      <c r="H92" s="206"/>
      <c r="I92" s="207"/>
      <c r="J92" s="76"/>
    </row>
    <row r="93" spans="1:10" x14ac:dyDescent="0.2">
      <c r="A93" s="76"/>
      <c r="B93" s="76"/>
      <c r="C93" s="308"/>
      <c r="D93" s="204"/>
      <c r="E93" s="252"/>
      <c r="F93" s="253"/>
      <c r="G93" s="205"/>
      <c r="H93" s="206"/>
      <c r="I93" s="207"/>
      <c r="J93" s="76"/>
    </row>
    <row r="94" spans="1:10" x14ac:dyDescent="0.2">
      <c r="A94" s="76"/>
      <c r="B94" s="76"/>
      <c r="C94" s="308"/>
      <c r="D94" s="204"/>
      <c r="E94" s="252"/>
      <c r="F94" s="253"/>
      <c r="G94" s="205"/>
      <c r="H94" s="206"/>
      <c r="I94" s="207"/>
      <c r="J94" s="76"/>
    </row>
    <row r="95" spans="1:10" x14ac:dyDescent="0.2">
      <c r="A95" s="76"/>
      <c r="B95" s="76"/>
      <c r="C95" s="308"/>
      <c r="D95" s="204"/>
      <c r="E95" s="252"/>
      <c r="F95" s="253"/>
      <c r="G95" s="205"/>
      <c r="H95" s="206"/>
      <c r="I95" s="207"/>
      <c r="J95" s="76"/>
    </row>
    <row r="96" spans="1:10" x14ac:dyDescent="0.2">
      <c r="A96" s="76"/>
      <c r="B96" s="76"/>
      <c r="C96" s="308"/>
      <c r="D96" s="204"/>
      <c r="E96" s="252"/>
      <c r="F96" s="253"/>
      <c r="G96" s="205"/>
      <c r="H96" s="206"/>
      <c r="I96" s="207"/>
      <c r="J96" s="76"/>
    </row>
    <row r="97" spans="1:17" s="76" customFormat="1" x14ac:dyDescent="0.2">
      <c r="C97" s="308"/>
      <c r="D97" s="204"/>
      <c r="E97" s="252"/>
      <c r="F97" s="253"/>
      <c r="G97" s="205"/>
      <c r="H97" s="206"/>
      <c r="I97" s="207"/>
    </row>
    <row r="98" spans="1:17" s="374" customFormat="1" ht="18" x14ac:dyDescent="0.25">
      <c r="A98" s="375" t="s">
        <v>249</v>
      </c>
      <c r="B98" s="375"/>
      <c r="C98" s="376"/>
      <c r="D98" s="377"/>
      <c r="E98" s="377"/>
      <c r="F98" s="377"/>
      <c r="G98" s="377"/>
      <c r="H98" s="377"/>
      <c r="I98" s="377"/>
      <c r="J98" s="377"/>
      <c r="K98" s="377"/>
      <c r="L98" s="377"/>
      <c r="M98" s="377"/>
      <c r="N98" s="377"/>
      <c r="O98" s="377"/>
      <c r="P98" s="377"/>
      <c r="Q98" s="377"/>
    </row>
    <row r="99" spans="1:17" s="60" customFormat="1" x14ac:dyDescent="0.2">
      <c r="C99" s="292"/>
    </row>
    <row r="100" spans="1:17" x14ac:dyDescent="0.2">
      <c r="A100" s="129"/>
      <c r="B100" s="129"/>
      <c r="C100" s="321" t="s">
        <v>95</v>
      </c>
      <c r="D100" s="130" t="s">
        <v>96</v>
      </c>
      <c r="E100" s="130" t="s">
        <v>97</v>
      </c>
      <c r="F100" s="130" t="s">
        <v>98</v>
      </c>
      <c r="G100" s="130" t="s">
        <v>99</v>
      </c>
      <c r="H100" s="130" t="s">
        <v>100</v>
      </c>
      <c r="I100" s="130" t="s">
        <v>101</v>
      </c>
      <c r="J100" s="130" t="s">
        <v>102</v>
      </c>
      <c r="K100" s="130" t="s">
        <v>103</v>
      </c>
      <c r="L100" s="130" t="s">
        <v>104</v>
      </c>
      <c r="M100" s="130" t="s">
        <v>105</v>
      </c>
      <c r="N100" s="130" t="s">
        <v>106</v>
      </c>
      <c r="O100" s="130" t="s">
        <v>107</v>
      </c>
      <c r="P100" s="130" t="s">
        <v>108</v>
      </c>
      <c r="Q100" s="130" t="s">
        <v>109</v>
      </c>
    </row>
    <row r="101" spans="1:17" x14ac:dyDescent="0.2">
      <c r="A101" s="131" t="s">
        <v>94</v>
      </c>
      <c r="B101" s="131"/>
      <c r="C101" s="322"/>
      <c r="D101" s="260"/>
      <c r="E101" s="260"/>
      <c r="F101" s="260"/>
      <c r="G101" s="260"/>
      <c r="H101" s="260"/>
      <c r="I101" s="260"/>
      <c r="J101" s="260"/>
      <c r="K101" s="260"/>
      <c r="L101" s="260"/>
      <c r="M101" s="260"/>
      <c r="N101" s="260"/>
      <c r="O101" s="260"/>
      <c r="P101" s="260"/>
      <c r="Q101" s="260"/>
    </row>
    <row r="102" spans="1:17" x14ac:dyDescent="0.2">
      <c r="A102" s="132" t="s">
        <v>10</v>
      </c>
      <c r="B102" s="132"/>
      <c r="C102" s="323">
        <f>'Input Property 2'!B3+(('Input Property 2'!B3*'Input Property 2'!B52)*('Data Property 2'!C162/365))</f>
        <v>454438.35616438359</v>
      </c>
      <c r="D102" s="261">
        <f>C102+((C102*'Input Property 2'!C52)*('Data Property 2'!D162/('Data Property 2'!D161-'Data Property 2'!C161)))</f>
        <v>481704.65753424662</v>
      </c>
      <c r="E102" s="261">
        <f>D102+((D102*'Input Property 2'!D52)*('Data Property 2'!E162/('Data Property 2'!E161-'Data Property 2'!D161)))</f>
        <v>510606.93698630144</v>
      </c>
      <c r="F102" s="261">
        <f>E102+((E102*'Input Property 2'!E52)*('Data Property 2'!F162/('Data Property 2'!F161-'Data Property 2'!E161)))</f>
        <v>541243.35320547957</v>
      </c>
      <c r="G102" s="261">
        <f>F102+((F102*'Input Property 2'!F52)*('Data Property 2'!G162/('Data Property 2'!G161-'Data Property 2'!F161)))</f>
        <v>573717.95439780829</v>
      </c>
      <c r="H102" s="261">
        <f>G102+((G102*'Input Property 2'!G52)*('Data Property 2'!H162/('Data Property 2'!H161-'Data Property 2'!G161)))</f>
        <v>608141.03166167683</v>
      </c>
      <c r="I102" s="261">
        <f>H102+((H102*'Input Property 2'!H52)*('Data Property 2'!I162/('Data Property 2'!I161-'Data Property 2'!H161)))</f>
        <v>644629.4935613774</v>
      </c>
      <c r="J102" s="261">
        <f>I102+((I102*'Input Property 2'!I52)*('Data Property 2'!J162/('Data Property 2'!J161-'Data Property 2'!I161)))</f>
        <v>683307.26317506004</v>
      </c>
      <c r="K102" s="261">
        <f>J102+((J102*'Input Property 2'!J52)*('Data Property 2'!K162/('Data Property 2'!K161-'Data Property 2'!J161)))</f>
        <v>724305.69896556367</v>
      </c>
      <c r="L102" s="261">
        <f>K102+((K102*'Input Property 2'!K52)*('Data Property 2'!L162/('Data Property 2'!L161-'Data Property 2'!K161)))</f>
        <v>767764.04090349749</v>
      </c>
      <c r="M102" s="261">
        <f>L102+((L102*'Input Property 2'!L52)*('Data Property 2'!M162/('Data Property 2'!M161-'Data Property 2'!L161)))</f>
        <v>813829.88335770729</v>
      </c>
      <c r="N102" s="261">
        <f>M102+((M102*'Input Property 2'!M52)*('Data Property 2'!N162/('Data Property 2'!N161-'Data Property 2'!M161)))</f>
        <v>862659.67635916977</v>
      </c>
      <c r="O102" s="261">
        <f>N102+((N102*'Input Property 2'!N52)*('Data Property 2'!O162/('Data Property 2'!O161-'Data Property 2'!N161)))</f>
        <v>914419.2569407199</v>
      </c>
      <c r="P102" s="261">
        <f>O102+((O102*'Input Property 2'!O52)*('Data Property 2'!P162/('Data Property 2'!P161-'Data Property 2'!O161)))</f>
        <v>969284.41235716315</v>
      </c>
      <c r="Q102" s="261">
        <f>P102+((P102*'Input Property 2'!P52)*('Data Property 2'!Q162/('Data Property 2'!Q161-'Data Property 2'!P161)))</f>
        <v>1027441.4770985929</v>
      </c>
    </row>
    <row r="103" spans="1:17" x14ac:dyDescent="0.2">
      <c r="A103" s="132" t="s">
        <v>39</v>
      </c>
      <c r="B103" s="132"/>
      <c r="C103" s="323">
        <f>'Input Property 2'!B14</f>
        <v>349500</v>
      </c>
      <c r="D103" s="261">
        <f>IF('Input Property 2'!$B$33&gt;'Data Property 2'!C161,C103,0)</f>
        <v>349500</v>
      </c>
      <c r="E103" s="261">
        <f>IF('Input Property 2'!$B$33&gt;'Data Property 2'!D161,D103,0)</f>
        <v>349500</v>
      </c>
      <c r="F103" s="261">
        <f>IF('Input Property 2'!$B$33&gt;'Data Property 2'!E161,E103,0)</f>
        <v>349500</v>
      </c>
      <c r="G103" s="261">
        <f>IF('Input Property 2'!$B$33&gt;'Data Property 2'!F161,F103,0)</f>
        <v>349500</v>
      </c>
      <c r="H103" s="261">
        <f>IF('Input Property 2'!$B$33&gt;'Data Property 2'!G161,G103,0)</f>
        <v>349500</v>
      </c>
      <c r="I103" s="261">
        <f>IF('Input Property 2'!$B$33&gt;'Data Property 2'!H161,H103,0)</f>
        <v>349500</v>
      </c>
      <c r="J103" s="261">
        <f>IF('Input Property 2'!$B$33&gt;'Data Property 2'!I161,I103,0)</f>
        <v>349500</v>
      </c>
      <c r="K103" s="261">
        <f>IF('Input Property 2'!$B$33&gt;'Data Property 2'!J161,J103,0)</f>
        <v>349500</v>
      </c>
      <c r="L103" s="261">
        <f t="shared" ref="L103:Q103" si="22">K103</f>
        <v>349500</v>
      </c>
      <c r="M103" s="261">
        <f t="shared" si="22"/>
        <v>349500</v>
      </c>
      <c r="N103" s="261">
        <f t="shared" si="22"/>
        <v>349500</v>
      </c>
      <c r="O103" s="261">
        <f t="shared" si="22"/>
        <v>349500</v>
      </c>
      <c r="P103" s="261">
        <f t="shared" si="22"/>
        <v>349500</v>
      </c>
      <c r="Q103" s="261">
        <f t="shared" si="22"/>
        <v>349500</v>
      </c>
    </row>
    <row r="104" spans="1:17" x14ac:dyDescent="0.2">
      <c r="A104" s="248" t="s">
        <v>11</v>
      </c>
      <c r="B104" s="248"/>
      <c r="C104" s="323">
        <f>'Input Property 2'!$B$4</f>
        <v>110000</v>
      </c>
      <c r="D104" s="261">
        <f>'Input Property 2'!$B$4</f>
        <v>110000</v>
      </c>
      <c r="E104" s="261">
        <f>'Input Property 2'!$B$4</f>
        <v>110000</v>
      </c>
      <c r="F104" s="261">
        <f>'Input Property 2'!$B$4</f>
        <v>110000</v>
      </c>
      <c r="G104" s="261">
        <f>'Input Property 2'!$B$4</f>
        <v>110000</v>
      </c>
      <c r="H104" s="261">
        <f>'Input Property 2'!$B$4</f>
        <v>110000</v>
      </c>
      <c r="I104" s="261">
        <f>'Input Property 2'!$B$4</f>
        <v>110000</v>
      </c>
      <c r="J104" s="261">
        <f>'Input Property 2'!$B$4</f>
        <v>110000</v>
      </c>
      <c r="K104" s="261">
        <f>'Input Property 2'!$B$4</f>
        <v>110000</v>
      </c>
      <c r="L104" s="261">
        <f>'Input Property 2'!$B$4</f>
        <v>110000</v>
      </c>
      <c r="M104" s="261">
        <f>'Input Property 2'!$B$4</f>
        <v>110000</v>
      </c>
      <c r="N104" s="261">
        <f>'Input Property 2'!$B$4</f>
        <v>110000</v>
      </c>
      <c r="O104" s="261">
        <f>'Input Property 2'!$B$4</f>
        <v>110000</v>
      </c>
      <c r="P104" s="261">
        <f>'Input Property 2'!$B$4</f>
        <v>110000</v>
      </c>
      <c r="Q104" s="261">
        <f>'Input Property 2'!$B$4</f>
        <v>110000</v>
      </c>
    </row>
    <row r="105" spans="1:17" x14ac:dyDescent="0.2">
      <c r="A105" s="132" t="s">
        <v>84</v>
      </c>
      <c r="B105" s="132"/>
      <c r="C105" s="324">
        <f t="shared" ref="C105:Q105" si="23">C103/C102</f>
        <v>0.76908120817507686</v>
      </c>
      <c r="D105" s="262">
        <f t="shared" si="23"/>
        <v>0.72554830959912908</v>
      </c>
      <c r="E105" s="262">
        <f t="shared" si="23"/>
        <v>0.68447953735766887</v>
      </c>
      <c r="F105" s="262">
        <f t="shared" si="23"/>
        <v>0.64573541260157441</v>
      </c>
      <c r="G105" s="262">
        <f t="shared" si="23"/>
        <v>0.60918435151091932</v>
      </c>
      <c r="H105" s="262">
        <f t="shared" si="23"/>
        <v>0.57470221840652758</v>
      </c>
      <c r="I105" s="262">
        <f t="shared" si="23"/>
        <v>0.54217190415710148</v>
      </c>
      <c r="J105" s="262">
        <f t="shared" si="23"/>
        <v>0.5114829284500958</v>
      </c>
      <c r="K105" s="262">
        <f t="shared" si="23"/>
        <v>0.48253106457556205</v>
      </c>
      <c r="L105" s="262">
        <f t="shared" si="23"/>
        <v>0.45521798544864345</v>
      </c>
      <c r="M105" s="262">
        <f t="shared" si="23"/>
        <v>0.42945092966853154</v>
      </c>
      <c r="N105" s="262">
        <f t="shared" si="23"/>
        <v>0.40514238647974676</v>
      </c>
      <c r="O105" s="262">
        <f t="shared" si="23"/>
        <v>0.38220979856579884</v>
      </c>
      <c r="P105" s="262">
        <f t="shared" si="23"/>
        <v>0.36057528166584796</v>
      </c>
      <c r="Q105" s="262">
        <f t="shared" si="23"/>
        <v>0.34016536006212073</v>
      </c>
    </row>
    <row r="106" spans="1:17" x14ac:dyDescent="0.2">
      <c r="A106" s="132" t="s">
        <v>110</v>
      </c>
      <c r="B106" s="132"/>
      <c r="C106" s="325">
        <f t="shared" ref="C106:Q106" si="24">C102-C103</f>
        <v>104938.35616438359</v>
      </c>
      <c r="D106" s="263">
        <f t="shared" si="24"/>
        <v>132204.65753424662</v>
      </c>
      <c r="E106" s="263">
        <f t="shared" si="24"/>
        <v>161106.93698630144</v>
      </c>
      <c r="F106" s="263">
        <f t="shared" si="24"/>
        <v>191743.35320547957</v>
      </c>
      <c r="G106" s="263">
        <f t="shared" si="24"/>
        <v>224217.95439780829</v>
      </c>
      <c r="H106" s="263">
        <f t="shared" si="24"/>
        <v>258641.03166167683</v>
      </c>
      <c r="I106" s="263">
        <f t="shared" si="24"/>
        <v>295129.4935613774</v>
      </c>
      <c r="J106" s="263">
        <f t="shared" si="24"/>
        <v>333807.26317506004</v>
      </c>
      <c r="K106" s="263">
        <f t="shared" si="24"/>
        <v>374805.69896556367</v>
      </c>
      <c r="L106" s="263">
        <f t="shared" si="24"/>
        <v>418264.04090349749</v>
      </c>
      <c r="M106" s="263">
        <f t="shared" si="24"/>
        <v>464329.88335770729</v>
      </c>
      <c r="N106" s="263">
        <f t="shared" si="24"/>
        <v>513159.67635916977</v>
      </c>
      <c r="O106" s="263">
        <f t="shared" si="24"/>
        <v>564919.2569407199</v>
      </c>
      <c r="P106" s="263">
        <f t="shared" si="24"/>
        <v>619784.41235716315</v>
      </c>
      <c r="Q106" s="263">
        <f t="shared" si="24"/>
        <v>677941.47709859291</v>
      </c>
    </row>
    <row r="107" spans="1:17" ht="22.5" x14ac:dyDescent="0.2">
      <c r="A107" s="133" t="s">
        <v>111</v>
      </c>
      <c r="B107" s="133"/>
      <c r="C107" s="325">
        <f>(C102*'Input Property 2'!B56)-C103</f>
        <v>59494.520547945227</v>
      </c>
      <c r="D107" s="263">
        <f>(D102*'Input Property 2'!C56)-D103</f>
        <v>84034.191780821944</v>
      </c>
      <c r="E107" s="263">
        <f>(E102*'Input Property 2'!D56)-E103</f>
        <v>110046.2432876713</v>
      </c>
      <c r="F107" s="263">
        <f>(F102*'Input Property 2'!E56)-F103</f>
        <v>137619.01788493164</v>
      </c>
      <c r="G107" s="263">
        <f>(G102*'Input Property 2'!F56)-G103</f>
        <v>166846.15895802749</v>
      </c>
      <c r="H107" s="263">
        <f>(H102*'Input Property 2'!G56)-H103</f>
        <v>197826.9284955092</v>
      </c>
      <c r="I107" s="263">
        <f>(I102*'Input Property 2'!H56)-I103</f>
        <v>230666.54420523962</v>
      </c>
      <c r="J107" s="263">
        <f>(J102*'Input Property 2'!I56)-J103</f>
        <v>265476.53685755411</v>
      </c>
      <c r="K107" s="263">
        <f>(K102*'Input Property 2'!J56)-K103</f>
        <v>302375.12906900735</v>
      </c>
      <c r="L107" s="263">
        <f>(L102*'Input Property 2'!K56)-L103</f>
        <v>341487.63681314781</v>
      </c>
      <c r="M107" s="263">
        <f>(M102*'Input Property 2'!L56)-M103</f>
        <v>382946.89502193662</v>
      </c>
      <c r="N107" s="263">
        <f>(N102*'Input Property 2'!M56)-N103</f>
        <v>426893.70872325276</v>
      </c>
      <c r="O107" s="263">
        <f>(O102*'Input Property 2'!N56)-O103</f>
        <v>473477.33124664798</v>
      </c>
      <c r="P107" s="263">
        <f>(P102*'Input Property 2'!O56)-P103</f>
        <v>522855.97112144681</v>
      </c>
      <c r="Q107" s="263">
        <f>(Q102*'Input Property 2'!P56)-Q103</f>
        <v>575197.3293887336</v>
      </c>
    </row>
    <row r="108" spans="1:17" x14ac:dyDescent="0.2">
      <c r="A108" s="134" t="s">
        <v>208</v>
      </c>
      <c r="B108" s="134"/>
      <c r="C108" s="326">
        <f>C102-C103</f>
        <v>104938.35616438359</v>
      </c>
      <c r="D108" s="264">
        <f t="shared" ref="D108:Q108" si="25">IF(D102=0,0,D102-C102)</f>
        <v>27266.301369863038</v>
      </c>
      <c r="E108" s="264">
        <f t="shared" si="25"/>
        <v>28902.27945205482</v>
      </c>
      <c r="F108" s="264">
        <f t="shared" si="25"/>
        <v>30636.416219178122</v>
      </c>
      <c r="G108" s="264">
        <f t="shared" si="25"/>
        <v>32474.60119232873</v>
      </c>
      <c r="H108" s="264">
        <f t="shared" si="25"/>
        <v>34423.07726386853</v>
      </c>
      <c r="I108" s="264">
        <f t="shared" si="25"/>
        <v>36488.461899700575</v>
      </c>
      <c r="J108" s="264">
        <f t="shared" si="25"/>
        <v>38677.769613682642</v>
      </c>
      <c r="K108" s="264">
        <f t="shared" si="25"/>
        <v>40998.43579050363</v>
      </c>
      <c r="L108" s="264">
        <f t="shared" si="25"/>
        <v>43458.341937933816</v>
      </c>
      <c r="M108" s="264">
        <f t="shared" si="25"/>
        <v>46065.842454209807</v>
      </c>
      <c r="N108" s="264">
        <f t="shared" si="25"/>
        <v>48829.793001462473</v>
      </c>
      <c r="O108" s="264">
        <f t="shared" si="25"/>
        <v>51759.580581550137</v>
      </c>
      <c r="P108" s="264">
        <f t="shared" si="25"/>
        <v>54865.155416443245</v>
      </c>
      <c r="Q108" s="264">
        <f t="shared" si="25"/>
        <v>58157.064741429756</v>
      </c>
    </row>
    <row r="109" spans="1:17" x14ac:dyDescent="0.2">
      <c r="A109" s="129"/>
      <c r="B109" s="129"/>
      <c r="C109" s="322"/>
      <c r="D109" s="260"/>
      <c r="E109" s="260"/>
      <c r="F109" s="260"/>
      <c r="G109" s="260"/>
      <c r="H109" s="260"/>
      <c r="I109" s="260"/>
      <c r="J109" s="260"/>
      <c r="K109" s="260"/>
      <c r="L109" s="260"/>
      <c r="M109" s="260"/>
      <c r="N109" s="260"/>
      <c r="O109" s="260"/>
      <c r="P109" s="260"/>
      <c r="Q109" s="260"/>
    </row>
    <row r="110" spans="1:17" x14ac:dyDescent="0.2">
      <c r="A110" s="132" t="s">
        <v>122</v>
      </c>
      <c r="B110" s="132"/>
      <c r="C110" s="327">
        <f>'Data Property 2'!C165</f>
        <v>2877.1428571428569</v>
      </c>
      <c r="D110" s="265">
        <f>'Data Property 2'!D165</f>
        <v>19997.88</v>
      </c>
      <c r="E110" s="265">
        <f>'Data Property 2'!E165</f>
        <v>20577.818519999997</v>
      </c>
      <c r="F110" s="265">
        <f>'Data Property 2'!F165</f>
        <v>21174.575257079996</v>
      </c>
      <c r="G110" s="265">
        <f>'Data Property 2'!G165</f>
        <v>21849.500056684854</v>
      </c>
      <c r="H110" s="265">
        <f>'Data Property 2'!H165</f>
        <v>22420.508439781835</v>
      </c>
      <c r="I110" s="265">
        <f>'Data Property 2'!I165</f>
        <v>23070.703184535509</v>
      </c>
      <c r="J110" s="265">
        <f>'Data Property 2'!J165</f>
        <v>23739.753576887033</v>
      </c>
      <c r="K110" s="265">
        <f>'Data Property 2'!K165</f>
        <v>24496.441644110098</v>
      </c>
      <c r="L110" s="265">
        <f>'Data Property 2'!L165</f>
        <v>25136.624417104642</v>
      </c>
      <c r="M110" s="265">
        <f>'Data Property 2'!M165</f>
        <v>25865.586525200673</v>
      </c>
      <c r="N110" s="265">
        <f>'Data Property 2'!N165</f>
        <v>26615.688534431491</v>
      </c>
      <c r="O110" s="265">
        <f>'Data Property 2'!O165</f>
        <v>27464.045020091813</v>
      </c>
      <c r="P110" s="265">
        <f>'Data Property 2'!P165</f>
        <v>28181.782263485969</v>
      </c>
      <c r="Q110" s="265">
        <f>'Data Property 2'!Q165</f>
        <v>28999.053949127057</v>
      </c>
    </row>
    <row r="111" spans="1:17" x14ac:dyDescent="0.2">
      <c r="A111" s="134" t="s">
        <v>210</v>
      </c>
      <c r="B111" s="134"/>
      <c r="C111" s="328">
        <f t="shared" ref="C111:Q111" si="26">C80</f>
        <v>3.7974049266926393E-2</v>
      </c>
      <c r="D111" s="266">
        <f t="shared" si="26"/>
        <v>4.3387819747890043E-2</v>
      </c>
      <c r="E111" s="266">
        <f t="shared" si="26"/>
        <v>4.4646066520578849E-2</v>
      </c>
      <c r="F111" s="266">
        <f t="shared" si="26"/>
        <v>4.5940802449675633E-2</v>
      </c>
      <c r="G111" s="266">
        <f t="shared" si="26"/>
        <v>4.7405133446193085E-2</v>
      </c>
      <c r="H111" s="266">
        <f t="shared" si="26"/>
        <v>4.8644005206616985E-2</v>
      </c>
      <c r="I111" s="266">
        <f t="shared" si="26"/>
        <v>5.0054681357608877E-2</v>
      </c>
      <c r="J111" s="266">
        <f t="shared" si="26"/>
        <v>5.1506267116979525E-2</v>
      </c>
      <c r="K111" s="266">
        <f t="shared" si="26"/>
        <v>5.3147993413269617E-2</v>
      </c>
      <c r="L111" s="266">
        <f t="shared" si="26"/>
        <v>5.4536947380409713E-2</v>
      </c>
      <c r="M111" s="266">
        <f t="shared" si="26"/>
        <v>5.6118518854441593E-2</v>
      </c>
      <c r="N111" s="266">
        <f t="shared" si="26"/>
        <v>5.7745955901220392E-2</v>
      </c>
      <c r="O111" s="266">
        <f t="shared" si="26"/>
        <v>5.9586567920183575E-2</v>
      </c>
      <c r="P111" s="266">
        <f t="shared" si="26"/>
        <v>6.1143785692404092E-2</v>
      </c>
      <c r="Q111" s="266">
        <f t="shared" si="26"/>
        <v>6.2916955477483799E-2</v>
      </c>
    </row>
    <row r="112" spans="1:17" x14ac:dyDescent="0.2">
      <c r="A112" s="129" t="str">
        <f>'Data Property 2'!A193</f>
        <v>Property Expenses</v>
      </c>
      <c r="B112" s="129"/>
      <c r="C112" s="327">
        <f>'Data Property 2'!C186</f>
        <v>1812.8657534246574</v>
      </c>
      <c r="D112" s="265">
        <f>'Data Property 2'!D186</f>
        <v>9157.80285</v>
      </c>
      <c r="E112" s="265">
        <f>'Data Property 2'!E186</f>
        <v>9393.9114076499991</v>
      </c>
      <c r="F112" s="265">
        <f>'Data Property 2'!F186</f>
        <v>9636.1304203468499</v>
      </c>
      <c r="G112" s="265">
        <f>'Data Property 2'!G186</f>
        <v>9888.8790221592499</v>
      </c>
      <c r="H112" s="265">
        <f>'Data Property 2'!H186</f>
        <v>10139.539098711008</v>
      </c>
      <c r="I112" s="265">
        <f>'Data Property 2'!I186</f>
        <v>10401.058877861235</v>
      </c>
      <c r="J112" s="265">
        <f>'Data Property 2'!J186</f>
        <v>10669.349559239008</v>
      </c>
      <c r="K112" s="265">
        <f>'Data Property 2'!K186</f>
        <v>10949.363634669266</v>
      </c>
      <c r="L112" s="265">
        <f>'Data Property 2'!L186</f>
        <v>11226.952332746236</v>
      </c>
      <c r="M112" s="265">
        <f>'Data Property 2'!M186</f>
        <v>11516.630388872851</v>
      </c>
      <c r="N112" s="265">
        <f>'Data Property 2'!N186</f>
        <v>11813.81151958906</v>
      </c>
      <c r="O112" s="265">
        <f>'Data Property 2'!O186</f>
        <v>12124.045980603343</v>
      </c>
      <c r="P112" s="265">
        <f>'Data Property 2'!P186</f>
        <v>12431.468700879386</v>
      </c>
      <c r="Q112" s="265">
        <f>'Data Property 2'!Q186</f>
        <v>12752.350479176428</v>
      </c>
    </row>
    <row r="113" spans="1:17" x14ac:dyDescent="0.2">
      <c r="A113" s="129" t="str">
        <f>'Data Property 2'!A194</f>
        <v>Total Cash Deductions</v>
      </c>
      <c r="B113" s="360"/>
      <c r="C113" s="327">
        <f>'Data Property 2'!C187</f>
        <v>3735.664219178082</v>
      </c>
      <c r="D113" s="265">
        <f>'Data Property 2'!D187</f>
        <v>20854.826849999998</v>
      </c>
      <c r="E113" s="265">
        <f>'Data Property 2'!E187</f>
        <v>21090.935407649999</v>
      </c>
      <c r="F113" s="265">
        <f>'Data Property 2'!F187</f>
        <v>21333.154420346851</v>
      </c>
      <c r="G113" s="265">
        <f>'Data Property 2'!G187</f>
        <v>21617.949663255142</v>
      </c>
      <c r="H113" s="265">
        <f>'Data Property 2'!H187</f>
        <v>21836.563098711005</v>
      </c>
      <c r="I113" s="265">
        <f>'Data Property 2'!I187</f>
        <v>22098.082877861234</v>
      </c>
      <c r="J113" s="265">
        <f>'Data Property 2'!J187</f>
        <v>22366.373559239008</v>
      </c>
      <c r="K113" s="265">
        <f>'Data Property 2'!K187</f>
        <v>22678.434275765158</v>
      </c>
      <c r="L113" s="265">
        <f>'Data Property 2'!L187</f>
        <v>22923.976332746235</v>
      </c>
      <c r="M113" s="265">
        <f>'Data Property 2'!M187</f>
        <v>23213.654388872848</v>
      </c>
      <c r="N113" s="265">
        <f>'Data Property 2'!N187</f>
        <v>23510.835519589062</v>
      </c>
      <c r="O113" s="265">
        <f>'Data Property 2'!O187</f>
        <v>23853.116621699235</v>
      </c>
      <c r="P113" s="265">
        <f>'Data Property 2'!P187</f>
        <v>24128.492700879386</v>
      </c>
      <c r="Q113" s="265">
        <f>'Data Property 2'!Q187</f>
        <v>24449.374479176426</v>
      </c>
    </row>
    <row r="114" spans="1:17" x14ac:dyDescent="0.2">
      <c r="A114" s="129"/>
      <c r="B114" s="361"/>
      <c r="C114" s="329"/>
      <c r="D114" s="267"/>
      <c r="E114" s="267"/>
      <c r="F114" s="267"/>
      <c r="G114" s="267"/>
      <c r="H114" s="267"/>
      <c r="I114" s="267"/>
      <c r="J114" s="267"/>
      <c r="K114" s="267"/>
      <c r="L114" s="267"/>
      <c r="M114" s="267"/>
      <c r="N114" s="267"/>
      <c r="O114" s="267"/>
      <c r="P114" s="267"/>
      <c r="Q114" s="267"/>
    </row>
    <row r="115" spans="1:17" x14ac:dyDescent="0.2">
      <c r="A115" s="129" t="str">
        <f>'Data Property 2'!A188</f>
        <v>Pre-Tax Cash Flow</v>
      </c>
      <c r="B115" s="362"/>
      <c r="C115" s="330">
        <f>'Data Property 2'!C189</f>
        <v>-858.52136203522514</v>
      </c>
      <c r="D115" s="268">
        <f>'Data Property 2'!D189</f>
        <v>-856.94684999999663</v>
      </c>
      <c r="E115" s="268">
        <f>'Data Property 2'!E189</f>
        <v>-513.11688765000144</v>
      </c>
      <c r="F115" s="268">
        <f>'Data Property 2'!F189</f>
        <v>-158.57916326685518</v>
      </c>
      <c r="G115" s="268">
        <f>'Data Property 2'!G189</f>
        <v>231.55039342971213</v>
      </c>
      <c r="H115" s="268">
        <f>'Data Property 2'!H189</f>
        <v>583.94534107083018</v>
      </c>
      <c r="I115" s="268">
        <f>'Data Property 2'!I189</f>
        <v>972.62030667427462</v>
      </c>
      <c r="J115" s="268">
        <f>'Data Property 2'!J189</f>
        <v>1373.3800176480254</v>
      </c>
      <c r="K115" s="268">
        <f>'Data Property 2'!K189</f>
        <v>1818.0073683449409</v>
      </c>
      <c r="L115" s="268">
        <f>'Data Property 2'!L189</f>
        <v>2212.6480843584068</v>
      </c>
      <c r="M115" s="268">
        <f>'Data Property 2'!M189</f>
        <v>2651.932136327825</v>
      </c>
      <c r="N115" s="268">
        <f>'Data Property 2'!N189</f>
        <v>3104.8530148424288</v>
      </c>
      <c r="O115" s="268">
        <f>'Data Property 2'!O189</f>
        <v>3610.9283983925779</v>
      </c>
      <c r="P115" s="268">
        <f>'Data Property 2'!P189</f>
        <v>4053.2895626065838</v>
      </c>
      <c r="Q115" s="268">
        <f>'Data Property 2'!Q189</f>
        <v>4549.6794699506318</v>
      </c>
    </row>
    <row r="116" spans="1:17" x14ac:dyDescent="0.2">
      <c r="A116" s="135" t="str">
        <f>'Data Property 2'!A202</f>
        <v>Net Income</v>
      </c>
      <c r="B116" s="363"/>
      <c r="C116" s="327">
        <f>'Data Property 2'!C202</f>
        <v>-6095.5213620352242</v>
      </c>
      <c r="D116" s="265">
        <f>'Data Property 2'!D202</f>
        <v>-5643.9468499999966</v>
      </c>
      <c r="E116" s="265">
        <f>'Data Property 2'!E202</f>
        <v>-4985.1168876500014</v>
      </c>
      <c r="F116" s="265">
        <f>'Data Property 2'!F202</f>
        <v>-4410.0791632668552</v>
      </c>
      <c r="G116" s="265">
        <f>'Data Property 2'!G202</f>
        <v>-3865.5996065702857</v>
      </c>
      <c r="H116" s="265">
        <f>'Data Property 2'!H202</f>
        <v>-3043.1596589291694</v>
      </c>
      <c r="I116" s="265">
        <f>'Data Property 2'!I202</f>
        <v>-2578.8531933257254</v>
      </c>
      <c r="J116" s="265">
        <f>'Data Property 2'!J202</f>
        <v>-2125.1514323519732</v>
      </c>
      <c r="K116" s="265">
        <f>'Data Property 2'!K202</f>
        <v>-1643.4646466550585</v>
      </c>
      <c r="L116" s="265">
        <f>'Data Property 2'!L202</f>
        <v>-1222.8823261415928</v>
      </c>
      <c r="M116" s="265">
        <f>'Data Property 2'!M202</f>
        <v>-765.43915102217579</v>
      </c>
      <c r="N116" s="265">
        <f>'Data Property 2'!N202</f>
        <v>-299.80688630257282</v>
      </c>
      <c r="O116" s="265">
        <f>'Data Property 2'!O202</f>
        <v>215.16646759107971</v>
      </c>
      <c r="P116" s="265">
        <f>'Data Property 2'!P202</f>
        <v>663.75621104553284</v>
      </c>
      <c r="Q116" s="265">
        <f>'Data Property 2'!Q202</f>
        <v>1164.5061238578965</v>
      </c>
    </row>
    <row r="117" spans="1:17" x14ac:dyDescent="0.2">
      <c r="A117" s="135" t="s">
        <v>206</v>
      </c>
      <c r="B117" s="363"/>
      <c r="C117" s="327">
        <f>'Data Property 2'!C211</f>
        <v>1103.7463838160438</v>
      </c>
      <c r="D117" s="265">
        <f>'Data Property 2'!D211</f>
        <v>1235.6353692783814</v>
      </c>
      <c r="E117" s="265">
        <f>'Data Property 2'!E211</f>
        <v>1098.2692016348228</v>
      </c>
      <c r="F117" s="265">
        <f>'Data Property 2'!F211</f>
        <v>973.79744013735763</v>
      </c>
      <c r="G117" s="265">
        <f>'Data Property 2'!G211</f>
        <v>858.42693837360275</v>
      </c>
      <c r="H117" s="265">
        <f>'Data Property 2'!H211</f>
        <v>678.60041016228934</v>
      </c>
      <c r="I117" s="265">
        <f>'Data Property 2'!I211</f>
        <v>573.97177752386779</v>
      </c>
      <c r="J117" s="265">
        <f>'Data Property 2'!J211</f>
        <v>467.24569161160616</v>
      </c>
      <c r="K117" s="265">
        <f>'Data Property 2'!K211</f>
        <v>359.8359965171112</v>
      </c>
      <c r="L117" s="265">
        <f>'Data Property 2'!L211</f>
        <v>246.50659345001623</v>
      </c>
      <c r="M117" s="265">
        <f>'Data Property 2'!M211</f>
        <v>139.16951006620366</v>
      </c>
      <c r="N117" s="265">
        <f>'Data Property 2'!N211</f>
        <v>24.584241785189079</v>
      </c>
      <c r="O117" s="265">
        <f>'Data Property 2'!O211</f>
        <v>-93.476804640602495</v>
      </c>
      <c r="P117" s="265">
        <f>'Data Property 2'!P211</f>
        <v>-221.23083316526026</v>
      </c>
      <c r="Q117" s="265">
        <f>'Data Property 2'!Q211</f>
        <v>-341.42550314270193</v>
      </c>
    </row>
    <row r="118" spans="1:17" x14ac:dyDescent="0.2">
      <c r="A118" s="129" t="s">
        <v>207</v>
      </c>
      <c r="B118" s="361"/>
      <c r="C118" s="331">
        <f>'Data Property 2'!C220</f>
        <v>1103.7463838160475</v>
      </c>
      <c r="D118" s="269">
        <f>'Data Property 2'!D220</f>
        <v>1235.6353692783741</v>
      </c>
      <c r="E118" s="269">
        <f>'Data Property 2'!E220</f>
        <v>1098.2692016348228</v>
      </c>
      <c r="F118" s="269">
        <f>'Data Property 2'!F220</f>
        <v>973.79744013735399</v>
      </c>
      <c r="G118" s="269">
        <f>'Data Property 2'!G220</f>
        <v>858.42693837360275</v>
      </c>
      <c r="H118" s="269">
        <f>'Data Property 2'!H220</f>
        <v>678.60041016228206</v>
      </c>
      <c r="I118" s="269">
        <f>'Data Property 2'!I220</f>
        <v>573.97177752386415</v>
      </c>
      <c r="J118" s="269">
        <f>'Data Property 2'!J220</f>
        <v>467.24569161161344</v>
      </c>
      <c r="K118" s="269">
        <f>'Data Property 2'!K220</f>
        <v>359.83599651710756</v>
      </c>
      <c r="L118" s="269">
        <f>'Data Property 2'!L220</f>
        <v>246.50659345001623</v>
      </c>
      <c r="M118" s="269">
        <f>'Data Property 2'!M220</f>
        <v>139.16951006619638</v>
      </c>
      <c r="N118" s="269">
        <f>'Data Property 2'!N220</f>
        <v>24.584241785185441</v>
      </c>
      <c r="O118" s="269">
        <f>'Data Property 2'!O220</f>
        <v>-93.476804640602495</v>
      </c>
      <c r="P118" s="269">
        <f>'Data Property 2'!P220</f>
        <v>-221.23083316526754</v>
      </c>
      <c r="Q118" s="269">
        <f>'Data Property 2'!Q220</f>
        <v>-341.42550314270193</v>
      </c>
    </row>
    <row r="119" spans="1:17" ht="13.5" thickBot="1" x14ac:dyDescent="0.25">
      <c r="A119" s="131" t="str">
        <f>'Data Property 2'!A223</f>
        <v>After-tax Cash Flow</v>
      </c>
      <c r="B119" s="364"/>
      <c r="C119" s="332">
        <f>'Data Property 2'!C224</f>
        <v>1348.9714055968661</v>
      </c>
      <c r="D119" s="270">
        <f>'Data Property 2'!D224</f>
        <v>1614.3238885567589</v>
      </c>
      <c r="E119" s="270">
        <f>'Data Property 2'!E224</f>
        <v>1683.4215156196442</v>
      </c>
      <c r="F119" s="270">
        <f>'Data Property 2'!F224</f>
        <v>1789.0157170078564</v>
      </c>
      <c r="G119" s="270">
        <f>'Data Property 2'!G224</f>
        <v>1948.4042701769176</v>
      </c>
      <c r="H119" s="270">
        <f>'Data Property 2'!H224</f>
        <v>1941.1461613954016</v>
      </c>
      <c r="I119" s="270">
        <f>'Data Property 2'!I224</f>
        <v>2120.5638617220065</v>
      </c>
      <c r="J119" s="270">
        <f>'Data Property 2'!J224</f>
        <v>2307.871400871245</v>
      </c>
      <c r="K119" s="270">
        <f>'Data Property 2'!K224</f>
        <v>2537.6793613791597</v>
      </c>
      <c r="L119" s="270">
        <f>'Data Property 2'!L224</f>
        <v>2705.6612712584392</v>
      </c>
      <c r="M119" s="270">
        <f>'Data Property 2'!M224</f>
        <v>2930.271156460225</v>
      </c>
      <c r="N119" s="270">
        <f>'Data Property 2'!N224</f>
        <v>3154.0214984128033</v>
      </c>
      <c r="O119" s="270">
        <f>'Data Property 2'!O224</f>
        <v>3423.974789111373</v>
      </c>
      <c r="P119" s="270">
        <f>'Data Property 2'!P224</f>
        <v>3610.827896276056</v>
      </c>
      <c r="Q119" s="270">
        <f>'Data Property 2'!Q224</f>
        <v>3866.8284636652279</v>
      </c>
    </row>
    <row r="120" spans="1:17" ht="13.5" thickTop="1" x14ac:dyDescent="0.2">
      <c r="A120" s="196" t="s">
        <v>246</v>
      </c>
      <c r="B120" s="365"/>
      <c r="C120" s="333">
        <f>C119</f>
        <v>1348.9714055968661</v>
      </c>
      <c r="D120" s="271">
        <f t="shared" ref="D120:Q120" si="27">C120+D119</f>
        <v>2963.295294153625</v>
      </c>
      <c r="E120" s="271">
        <f t="shared" si="27"/>
        <v>4646.7168097732692</v>
      </c>
      <c r="F120" s="271">
        <f t="shared" si="27"/>
        <v>6435.7325267811257</v>
      </c>
      <c r="G120" s="271">
        <f t="shared" si="27"/>
        <v>8384.1367969580424</v>
      </c>
      <c r="H120" s="271">
        <f t="shared" si="27"/>
        <v>10325.282958353444</v>
      </c>
      <c r="I120" s="271">
        <f t="shared" si="27"/>
        <v>12445.846820075451</v>
      </c>
      <c r="J120" s="271">
        <f t="shared" si="27"/>
        <v>14753.718220946696</v>
      </c>
      <c r="K120" s="271">
        <f t="shared" si="27"/>
        <v>17291.397582325855</v>
      </c>
      <c r="L120" s="271">
        <f t="shared" si="27"/>
        <v>19997.058853584294</v>
      </c>
      <c r="M120" s="271">
        <f t="shared" si="27"/>
        <v>22927.330010044519</v>
      </c>
      <c r="N120" s="271">
        <f t="shared" si="27"/>
        <v>26081.351508457323</v>
      </c>
      <c r="O120" s="271">
        <f t="shared" si="27"/>
        <v>29505.326297568696</v>
      </c>
      <c r="P120" s="271">
        <f t="shared" si="27"/>
        <v>33116.154193844748</v>
      </c>
      <c r="Q120" s="271">
        <f t="shared" si="27"/>
        <v>36982.982657509972</v>
      </c>
    </row>
    <row r="121" spans="1:17" x14ac:dyDescent="0.2">
      <c r="A121" s="129"/>
      <c r="B121" s="281"/>
      <c r="C121" s="334"/>
      <c r="D121" s="272"/>
      <c r="E121" s="272"/>
      <c r="F121" s="272"/>
      <c r="G121" s="272"/>
      <c r="H121" s="272"/>
      <c r="I121" s="272"/>
      <c r="J121" s="272"/>
      <c r="K121" s="272"/>
      <c r="L121" s="272"/>
      <c r="M121" s="272"/>
      <c r="N121" s="272"/>
      <c r="O121" s="272"/>
      <c r="P121" s="272"/>
      <c r="Q121" s="272"/>
    </row>
    <row r="122" spans="1:17" x14ac:dyDescent="0.2">
      <c r="A122" s="131" t="s">
        <v>209</v>
      </c>
      <c r="B122" s="131"/>
      <c r="C122" s="335">
        <f>C119+C108-C104</f>
        <v>-3712.6724300195492</v>
      </c>
      <c r="D122" s="273">
        <f>IF('Data Property 2'!C161&lt;'Input Property 2'!$B$33,D119+D108,0)</f>
        <v>28880.625258419797</v>
      </c>
      <c r="E122" s="273">
        <f>IF('Data Property 2'!D161&lt;'Input Property 2'!$B$33,E119+E108,0)</f>
        <v>30585.700967674464</v>
      </c>
      <c r="F122" s="273">
        <f>IF('Data Property 2'!E161&lt;'Input Property 2'!$B$33,F119+F108,0)</f>
        <v>32425.431936185978</v>
      </c>
      <c r="G122" s="273">
        <f>IF('Data Property 2'!F161&lt;'Input Property 2'!$B$33,G119+G108,0)</f>
        <v>34423.005462505651</v>
      </c>
      <c r="H122" s="273">
        <f>IF('Data Property 2'!G161&lt;'Input Property 2'!$B$33,H119+H108,0)</f>
        <v>36364.223425263932</v>
      </c>
      <c r="I122" s="273">
        <f>IF('Data Property 2'!H161&lt;'Input Property 2'!$B$33,I119+I108,0)</f>
        <v>38609.025761422585</v>
      </c>
      <c r="J122" s="273">
        <f>IF('Data Property 2'!I161&lt;'Input Property 2'!$B$33,J119+J108,0)</f>
        <v>40985.641014553883</v>
      </c>
      <c r="K122" s="273">
        <f>IF('Data Property 2'!J161&lt;'Input Property 2'!$B$33,K119+K108,0)</f>
        <v>43536.11515188279</v>
      </c>
      <c r="L122" s="273">
        <f>IF('Data Property 2'!K161&lt;'Input Property 2'!$B$33,L119+L108,0)</f>
        <v>46164.003209192255</v>
      </c>
      <c r="M122" s="273">
        <f>IF('Data Property 2'!L161&lt;'Input Property 2'!$B$33,M119+M108,0)</f>
        <v>48996.113610670029</v>
      </c>
      <c r="N122" s="273">
        <f>IF('Data Property 2'!M161&lt;'Input Property 2'!$B$33,N119+N108,0)</f>
        <v>51983.814499875276</v>
      </c>
      <c r="O122" s="273">
        <f>IF('Data Property 2'!N161&lt;'Input Property 2'!$B$33,O119+O108,0)</f>
        <v>55183.55537066151</v>
      </c>
      <c r="P122" s="273">
        <f>IF('Data Property 2'!O161&lt;'Input Property 2'!$B$33,P119+P108,0)</f>
        <v>58475.983312719298</v>
      </c>
      <c r="Q122" s="273">
        <f>IF('Data Property 2'!P161&lt;'Input Property 2'!$B$33,Q119+Q108,0)</f>
        <v>62023.893205094981</v>
      </c>
    </row>
    <row r="123" spans="1:17" x14ac:dyDescent="0.2">
      <c r="A123" s="196" t="s">
        <v>245</v>
      </c>
      <c r="B123" s="196"/>
      <c r="C123" s="335">
        <f>C122</f>
        <v>-3712.6724300195492</v>
      </c>
      <c r="D123" s="273">
        <f t="shared" ref="D123:Q123" si="28">C123+D122</f>
        <v>25167.952828400248</v>
      </c>
      <c r="E123" s="273">
        <f t="shared" si="28"/>
        <v>55753.653796074708</v>
      </c>
      <c r="F123" s="273">
        <f t="shared" si="28"/>
        <v>88179.08573226069</v>
      </c>
      <c r="G123" s="273">
        <f t="shared" si="28"/>
        <v>122602.09119476634</v>
      </c>
      <c r="H123" s="273">
        <f t="shared" si="28"/>
        <v>158966.31462003029</v>
      </c>
      <c r="I123" s="273">
        <f t="shared" si="28"/>
        <v>197575.34038145287</v>
      </c>
      <c r="J123" s="273">
        <f t="shared" si="28"/>
        <v>238560.98139600677</v>
      </c>
      <c r="K123" s="273">
        <f t="shared" si="28"/>
        <v>282097.09654788958</v>
      </c>
      <c r="L123" s="273">
        <f t="shared" si="28"/>
        <v>328261.09975708183</v>
      </c>
      <c r="M123" s="273">
        <f t="shared" si="28"/>
        <v>377257.21336775186</v>
      </c>
      <c r="N123" s="273">
        <f t="shared" si="28"/>
        <v>429241.02786762716</v>
      </c>
      <c r="O123" s="273">
        <f t="shared" si="28"/>
        <v>484424.58323828864</v>
      </c>
      <c r="P123" s="273">
        <f t="shared" si="28"/>
        <v>542900.56655100791</v>
      </c>
      <c r="Q123" s="273">
        <f t="shared" si="28"/>
        <v>604924.45975610288</v>
      </c>
    </row>
    <row r="124" spans="1:17" x14ac:dyDescent="0.2">
      <c r="A124" s="129"/>
      <c r="B124" s="129"/>
      <c r="C124" s="322"/>
      <c r="D124" s="260"/>
      <c r="E124" s="260"/>
      <c r="F124" s="260"/>
      <c r="G124" s="260"/>
      <c r="H124" s="260"/>
      <c r="I124" s="260"/>
      <c r="J124" s="260"/>
      <c r="K124" s="260"/>
      <c r="L124" s="260"/>
      <c r="M124" s="260"/>
      <c r="N124" s="260"/>
      <c r="O124" s="260"/>
      <c r="P124" s="260"/>
      <c r="Q124" s="260"/>
    </row>
    <row r="125" spans="1:17" x14ac:dyDescent="0.2">
      <c r="A125" s="131" t="s">
        <v>90</v>
      </c>
      <c r="B125" s="131"/>
      <c r="C125" s="322"/>
      <c r="D125" s="260"/>
      <c r="E125" s="274"/>
      <c r="F125" s="260"/>
      <c r="G125" s="260"/>
      <c r="H125" s="260"/>
      <c r="I125" s="260"/>
      <c r="J125" s="260"/>
      <c r="K125" s="260"/>
      <c r="L125" s="260"/>
      <c r="M125" s="260"/>
      <c r="N125" s="260"/>
      <c r="O125" s="260"/>
      <c r="P125" s="260"/>
      <c r="Q125" s="260"/>
    </row>
    <row r="126" spans="1:17" x14ac:dyDescent="0.2">
      <c r="A126" s="248" t="s">
        <v>91</v>
      </c>
      <c r="B126" s="248"/>
      <c r="C126" s="336">
        <f>IRR(D126:I126)</f>
        <v>3.8159072464423183E-3</v>
      </c>
      <c r="D126" s="275">
        <f>-('Input Property 2'!B5-'Input Property 2'!B3+'Input Property 2'!B4)</f>
        <v>-120910</v>
      </c>
      <c r="E126" s="275">
        <f>C122</f>
        <v>-3712.6724300195492</v>
      </c>
      <c r="F126" s="275">
        <f>D122</f>
        <v>28880.625258419797</v>
      </c>
      <c r="G126" s="275">
        <f>E122</f>
        <v>30585.700967674464</v>
      </c>
      <c r="H126" s="275">
        <f>F122</f>
        <v>32425.431936185978</v>
      </c>
      <c r="I126" s="275">
        <f>G122</f>
        <v>34423.005462505651</v>
      </c>
      <c r="J126" s="275"/>
      <c r="K126" s="275"/>
      <c r="L126" s="275"/>
      <c r="M126" s="275"/>
      <c r="N126" s="275"/>
      <c r="O126" s="276"/>
      <c r="P126" s="276"/>
      <c r="Q126" s="276"/>
    </row>
    <row r="127" spans="1:17" x14ac:dyDescent="0.2">
      <c r="A127" s="132" t="s">
        <v>92</v>
      </c>
      <c r="B127" s="132"/>
      <c r="C127" s="337" t="e">
        <f>IRR(D127:N127)</f>
        <v>#NUM!</v>
      </c>
      <c r="D127" s="277">
        <f>'Data Property 2'!C224</f>
        <v>1348.9714055968661</v>
      </c>
      <c r="E127" s="277">
        <f>'Data Property 2'!D224</f>
        <v>1614.3238885567589</v>
      </c>
      <c r="F127" s="277">
        <f>'Data Property 2'!E224</f>
        <v>1683.4215156196442</v>
      </c>
      <c r="G127" s="277">
        <f>'Data Property 2'!F224</f>
        <v>1789.0157170078564</v>
      </c>
      <c r="H127" s="277">
        <f>'Data Property 2'!G224</f>
        <v>1948.4042701769176</v>
      </c>
      <c r="I127" s="277">
        <f>'Data Property 2'!H224</f>
        <v>1941.1461613954016</v>
      </c>
      <c r="J127" s="277">
        <f>'Data Property 2'!I224</f>
        <v>2120.5638617220065</v>
      </c>
      <c r="K127" s="277">
        <f>'Data Property 2'!J224</f>
        <v>2307.871400871245</v>
      </c>
      <c r="L127" s="277">
        <f>'Data Property 2'!K224</f>
        <v>2537.6793613791597</v>
      </c>
      <c r="M127" s="277">
        <f>'Data Property 2'!L224</f>
        <v>2705.6612712584392</v>
      </c>
      <c r="N127" s="277">
        <f>'Data Property 2'!L106-'Input Property 2'!B4</f>
        <v>308264.04090349749</v>
      </c>
      <c r="O127" s="278"/>
      <c r="P127" s="279"/>
      <c r="Q127" s="279"/>
    </row>
    <row r="128" spans="1:17" x14ac:dyDescent="0.2">
      <c r="A128" s="132" t="s">
        <v>93</v>
      </c>
      <c r="B128" s="132"/>
      <c r="C128" s="338" t="e">
        <f>IRR(D128:Q128)</f>
        <v>#NUM!</v>
      </c>
      <c r="D128" s="277">
        <f>'Data Property 2'!C224</f>
        <v>1348.9714055968661</v>
      </c>
      <c r="E128" s="277">
        <f>'Data Property 2'!D224</f>
        <v>1614.3238885567589</v>
      </c>
      <c r="F128" s="277">
        <f>'Data Property 2'!E224</f>
        <v>1683.4215156196442</v>
      </c>
      <c r="G128" s="277">
        <f>'Data Property 2'!F224</f>
        <v>1789.0157170078564</v>
      </c>
      <c r="H128" s="277">
        <f>'Data Property 2'!G224</f>
        <v>1948.4042701769176</v>
      </c>
      <c r="I128" s="277">
        <f>'Data Property 2'!H224</f>
        <v>1941.1461613954016</v>
      </c>
      <c r="J128" s="277">
        <f>'Data Property 2'!I224</f>
        <v>2120.5638617220065</v>
      </c>
      <c r="K128" s="277">
        <f>'Data Property 2'!J224</f>
        <v>2307.871400871245</v>
      </c>
      <c r="L128" s="277">
        <f>'Data Property 2'!K224</f>
        <v>2537.6793613791597</v>
      </c>
      <c r="M128" s="277">
        <f>'Data Property 2'!L224</f>
        <v>2705.6612712584392</v>
      </c>
      <c r="N128" s="277">
        <f>'Data Property 2'!M224</f>
        <v>2930.271156460225</v>
      </c>
      <c r="O128" s="277">
        <f>'Data Property 2'!N224</f>
        <v>3154.0214984128033</v>
      </c>
      <c r="P128" s="277">
        <f>'Data Property 2'!O224</f>
        <v>3423.974789111373</v>
      </c>
      <c r="Q128" s="277">
        <f>'Data Property 2'!P224</f>
        <v>3610.827896276056</v>
      </c>
    </row>
    <row r="129" spans="1:17" x14ac:dyDescent="0.2">
      <c r="A129" s="129"/>
      <c r="B129" s="129"/>
      <c r="C129" s="322"/>
      <c r="D129" s="260"/>
      <c r="E129" s="260"/>
      <c r="F129" s="260"/>
      <c r="G129" s="260"/>
      <c r="H129" s="260"/>
      <c r="I129" s="260"/>
      <c r="J129" s="260"/>
      <c r="K129" s="260"/>
      <c r="L129" s="260"/>
      <c r="M129" s="260"/>
      <c r="N129" s="260"/>
      <c r="O129" s="260"/>
      <c r="P129" s="260"/>
      <c r="Q129" s="260"/>
    </row>
    <row r="130" spans="1:17" x14ac:dyDescent="0.2">
      <c r="A130" s="196" t="s">
        <v>235</v>
      </c>
      <c r="B130" s="196"/>
      <c r="C130" s="339">
        <f>SUM(C122:Q122)</f>
        <v>604924.45975610288</v>
      </c>
      <c r="D130" s="208"/>
      <c r="E130" s="260"/>
      <c r="F130" s="260"/>
      <c r="G130" s="260"/>
      <c r="H130" s="260"/>
      <c r="I130" s="260"/>
      <c r="J130" s="260"/>
      <c r="K130" s="260"/>
      <c r="L130" s="260"/>
      <c r="M130" s="260"/>
      <c r="N130" s="260"/>
      <c r="O130" s="260"/>
      <c r="P130" s="260"/>
      <c r="Q130" s="260"/>
    </row>
    <row r="131" spans="1:17" x14ac:dyDescent="0.2">
      <c r="A131" s="196" t="s">
        <v>236</v>
      </c>
      <c r="B131" s="196"/>
      <c r="C131" s="340">
        <f>C130/C103</f>
        <v>1.7308282110331985</v>
      </c>
      <c r="D131" s="209"/>
      <c r="E131" s="260"/>
      <c r="F131" s="260"/>
      <c r="G131" s="260"/>
      <c r="H131" s="260"/>
      <c r="I131" s="260"/>
      <c r="J131" s="260"/>
      <c r="K131" s="260"/>
      <c r="L131" s="260"/>
      <c r="M131" s="260"/>
      <c r="N131" s="260"/>
      <c r="O131" s="260"/>
      <c r="P131" s="260"/>
      <c r="Q131" s="260"/>
    </row>
    <row r="159" spans="1:17" ht="18" x14ac:dyDescent="0.25">
      <c r="A159" s="280" t="s">
        <v>259</v>
      </c>
      <c r="B159" s="165"/>
      <c r="C159" s="320"/>
      <c r="D159" s="165"/>
      <c r="E159" s="165"/>
      <c r="F159" s="165"/>
      <c r="G159" s="165"/>
      <c r="H159" s="165"/>
      <c r="I159" s="165"/>
      <c r="J159" s="165"/>
      <c r="K159" s="165"/>
      <c r="L159" s="165"/>
      <c r="M159" s="165"/>
      <c r="N159" s="165"/>
      <c r="O159" s="165"/>
      <c r="P159" s="165"/>
      <c r="Q159" s="165"/>
    </row>
    <row r="160" spans="1:17" x14ac:dyDescent="0.2">
      <c r="A160" s="60"/>
      <c r="B160" s="60"/>
      <c r="C160" s="292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</row>
    <row r="161" spans="1:17" x14ac:dyDescent="0.2">
      <c r="A161" t="s">
        <v>161</v>
      </c>
      <c r="B161"/>
      <c r="C161" s="67">
        <f>'Input Property 2'!$B$21</f>
        <v>44012</v>
      </c>
      <c r="D161" s="67">
        <f t="shared" ref="D161:Q161" si="29">DATE(YEAR(C161)+1,MONTH(C161),DAY(C161))</f>
        <v>44377</v>
      </c>
      <c r="E161" s="67">
        <f t="shared" si="29"/>
        <v>44742</v>
      </c>
      <c r="F161" s="67">
        <f t="shared" si="29"/>
        <v>45107</v>
      </c>
      <c r="G161" s="67">
        <f t="shared" si="29"/>
        <v>45473</v>
      </c>
      <c r="H161" s="67">
        <f t="shared" si="29"/>
        <v>45838</v>
      </c>
      <c r="I161" s="67">
        <f t="shared" si="29"/>
        <v>46203</v>
      </c>
      <c r="J161" s="67">
        <f t="shared" si="29"/>
        <v>46568</v>
      </c>
      <c r="K161" s="67">
        <f t="shared" si="29"/>
        <v>46934</v>
      </c>
      <c r="L161" s="67">
        <f t="shared" si="29"/>
        <v>47299</v>
      </c>
      <c r="M161" s="67">
        <f t="shared" si="29"/>
        <v>47664</v>
      </c>
      <c r="N161" s="67">
        <f t="shared" si="29"/>
        <v>48029</v>
      </c>
      <c r="O161" s="67">
        <f t="shared" si="29"/>
        <v>48395</v>
      </c>
      <c r="P161" s="67">
        <f t="shared" si="29"/>
        <v>48760</v>
      </c>
      <c r="Q161" s="67">
        <f t="shared" si="29"/>
        <v>49125</v>
      </c>
    </row>
    <row r="162" spans="1:17" x14ac:dyDescent="0.2">
      <c r="A162" t="s">
        <v>154</v>
      </c>
      <c r="B162"/>
      <c r="C162" s="55">
        <f>IF(('Input Property 2'!$B$21-'Input Property 2'!$B$20)&gt;360,0, 'Input Property 2'!$B$21-'Input Property 2'!$B$20)</f>
        <v>60</v>
      </c>
      <c r="D162" s="55">
        <f>IF('Input Property 2'!$B$33&gt;D161,D161-C161,IF('Input Property 2'!$B$33&lt;C161,0,'Input Property 2'!$B$33-C161))</f>
        <v>365</v>
      </c>
      <c r="E162" s="55">
        <f>IF('Input Property 2'!$B$33&gt;E161,E161-D161,IF('Input Property 2'!$B$33&lt;D161,0,'Input Property 2'!$B$33-D161))</f>
        <v>365</v>
      </c>
      <c r="F162" s="55">
        <f>IF('Input Property 2'!$B$33&gt;F161,F161-E161,IF('Input Property 2'!$B$33&lt;E161,0,'Input Property 2'!$B$33-E161))</f>
        <v>365</v>
      </c>
      <c r="G162" s="55">
        <f>IF('Input Property 2'!$B$33&gt;G161,G161-F161,IF('Input Property 2'!$B$33&lt;F161,0,'Input Property 2'!$B$33-F161))</f>
        <v>366</v>
      </c>
      <c r="H162" s="55">
        <f>IF('Input Property 2'!$B$33&gt;H161,H161-G161,IF('Input Property 2'!$B$33&lt;G161,0,'Input Property 2'!$B$33-G161))</f>
        <v>365</v>
      </c>
      <c r="I162" s="55">
        <f>IF('Input Property 2'!$B$33&gt;I161,I161-H161,IF('Input Property 2'!$B$33&lt;H161,0,'Input Property 2'!$B$33-H161))</f>
        <v>365</v>
      </c>
      <c r="J162" s="55">
        <f>IF('Input Property 2'!$B$33&gt;J161,J161-I161,IF('Input Property 2'!$B$33&lt;I161,0,'Input Property 2'!$B$33-I161))</f>
        <v>365</v>
      </c>
      <c r="K162" s="55">
        <f>IF('Input Property 2'!$B$33&gt;K161,K161-J161,IF('Input Property 2'!$B$33&lt;J161,0,'Input Property 2'!$B$33-J161))</f>
        <v>366</v>
      </c>
      <c r="L162" s="55">
        <f>IF('Input Property 2'!$B$33&gt;L161,L161-K161,IF('Input Property 2'!$B$33&lt;K161,0,'Input Property 2'!$B$33-K161))</f>
        <v>365</v>
      </c>
      <c r="M162" s="55">
        <f>IF('Input Property 2'!$B$33&gt;M161,M161-L161,IF('Input Property 2'!$B$33&lt;L161,0,'Input Property 2'!$B$33-L161))</f>
        <v>365</v>
      </c>
      <c r="N162" s="55">
        <f>IF('Input Property 2'!$B$33&gt;N161,N161-M161,IF('Input Property 2'!$B$33&lt;M161,0,'Input Property 2'!$B$33-M161))</f>
        <v>365</v>
      </c>
      <c r="O162" s="55">
        <f>IF('Input Property 2'!$B$33&gt;O161,O161-N161,IF('Input Property 2'!$B$33&lt;N161,0,'Input Property 2'!$B$33-N161))</f>
        <v>366</v>
      </c>
      <c r="P162" s="55">
        <f>IF('Input Property 2'!$B$33&gt;P161,P161-O161,IF('Input Property 2'!$B$33&lt;O161,0,'Input Property 2'!$B$33-O161))</f>
        <v>365</v>
      </c>
      <c r="Q162" s="55">
        <f>IF('Input Property 2'!$B$33&gt;Q161,Q161-P161,IF('Input Property 2'!$B$33&lt;P161,0,'Input Property 2'!$B$33-P161))</f>
        <v>365</v>
      </c>
    </row>
    <row r="163" spans="1:17" x14ac:dyDescent="0.2">
      <c r="A163" s="27" t="s">
        <v>17</v>
      </c>
      <c r="B163" s="24">
        <f>'Input Property 2'!$B$6</f>
        <v>380</v>
      </c>
      <c r="C163" s="43">
        <f>'Data Property 2'!B163</f>
        <v>380</v>
      </c>
      <c r="D163" s="43">
        <f>C163*(1+'Input Property 2'!B50)</f>
        <v>391.02</v>
      </c>
      <c r="E163" s="43">
        <f>D163*(1+'Input Property 2'!C50)</f>
        <v>402.35957999999994</v>
      </c>
      <c r="F163" s="43">
        <f>E163*(1+'Input Property 2'!D50)</f>
        <v>414.02800781999991</v>
      </c>
      <c r="G163" s="43">
        <f>F163*(1+'Input Property 2'!E50)</f>
        <v>426.03482004677988</v>
      </c>
      <c r="H163" s="43">
        <f>G163*(1+'Input Property 2'!F50)</f>
        <v>438.38982982813644</v>
      </c>
      <c r="I163" s="43">
        <f>H163*(1+'Input Property 2'!G50)</f>
        <v>451.10313489315234</v>
      </c>
      <c r="J163" s="43">
        <f>I163*(1+'Input Property 2'!H50)</f>
        <v>464.1851258050537</v>
      </c>
      <c r="K163" s="43">
        <f>J163*(1+'Input Property 2'!I50)</f>
        <v>477.64649445340024</v>
      </c>
      <c r="L163" s="43">
        <f>K163*(1+'Input Property 2'!J50)</f>
        <v>491.49824279254881</v>
      </c>
      <c r="M163" s="43">
        <f>L163*(1+'Input Property 2'!K50)</f>
        <v>505.75169183353267</v>
      </c>
      <c r="N163" s="43">
        <f>M163*(1+'Input Property 2'!L50)</f>
        <v>520.41849089670507</v>
      </c>
      <c r="O163" s="43">
        <f>N163*(1+'Input Property 2'!M50)</f>
        <v>535.51062713270949</v>
      </c>
      <c r="P163" s="43">
        <f>O163*(1+'Input Property 2'!N50)</f>
        <v>551.04043531955801</v>
      </c>
      <c r="Q163" s="43">
        <f>P163*(1+'Input Property 2'!O50)</f>
        <v>567.0206079438251</v>
      </c>
    </row>
    <row r="164" spans="1:17" x14ac:dyDescent="0.2">
      <c r="A164" s="38" t="s">
        <v>123</v>
      </c>
      <c r="B164" s="24"/>
      <c r="C164" s="55">
        <f>IF(C162=0,0,(C162-'Input Property 2'!B53)/7)</f>
        <v>7.5714285714285712</v>
      </c>
      <c r="D164" s="55">
        <f>IF(D162=0,0,(D162-'Input Property 2'!C53)/7)</f>
        <v>51.142857142857146</v>
      </c>
      <c r="E164" s="55">
        <f>IF(E162=0,0,(E162-'Input Property 2'!D53)/7)</f>
        <v>51.142857142857146</v>
      </c>
      <c r="F164" s="55">
        <f>IF(F162=0,0,(F162-'Input Property 2'!E53)/7)</f>
        <v>51.142857142857146</v>
      </c>
      <c r="G164" s="55">
        <f>IF(G162=0,0,(G162-'Input Property 2'!F53)/7)</f>
        <v>51.285714285714285</v>
      </c>
      <c r="H164" s="55">
        <f>IF(H162=0,0,(H162-'Input Property 2'!G53)/7)</f>
        <v>51.142857142857146</v>
      </c>
      <c r="I164" s="55">
        <f>IF(I162=0,0,(I162-'Input Property 2'!H53)/7)</f>
        <v>51.142857142857146</v>
      </c>
      <c r="J164" s="55">
        <f>IF(J162=0,0,(J162-'Input Property 2'!I53)/7)</f>
        <v>51.142857142857146</v>
      </c>
      <c r="K164" s="55">
        <f>IF(K162=0,0,(K162-'Input Property 2'!J53)/7)</f>
        <v>51.285714285714285</v>
      </c>
      <c r="L164" s="55">
        <f>IF(L162=0,0,(L162-'Input Property 2'!K53)/7)</f>
        <v>51.142857142857146</v>
      </c>
      <c r="M164" s="55">
        <f>IF(M162=0,0,(M162-'Input Property 2'!L53)/7)</f>
        <v>51.142857142857146</v>
      </c>
      <c r="N164" s="55">
        <f>IF(N162=0,0,(N162-'Input Property 2'!M53)/7)</f>
        <v>51.142857142857146</v>
      </c>
      <c r="O164" s="55">
        <f>IF(O162=0,0,(O162-'Input Property 2'!N53)/7)</f>
        <v>51.285714285714285</v>
      </c>
      <c r="P164" s="55">
        <f>IF(P162=0,0,(P162-'Input Property 2'!O53)/7)</f>
        <v>51.142857142857146</v>
      </c>
      <c r="Q164" s="55">
        <f>IF(Q162=0,0,(Q162-'Input Property 2'!P53)/7)</f>
        <v>51.142857142857146</v>
      </c>
    </row>
    <row r="165" spans="1:17" x14ac:dyDescent="0.2">
      <c r="A165" s="27" t="s">
        <v>175</v>
      </c>
      <c r="B165" s="24"/>
      <c r="C165" s="24">
        <f t="shared" ref="C165:Q165" si="30">C164*C163</f>
        <v>2877.1428571428569</v>
      </c>
      <c r="D165" s="24">
        <f t="shared" si="30"/>
        <v>19997.88</v>
      </c>
      <c r="E165" s="24">
        <f t="shared" si="30"/>
        <v>20577.818519999997</v>
      </c>
      <c r="F165" s="24">
        <f t="shared" si="30"/>
        <v>21174.575257079996</v>
      </c>
      <c r="G165" s="24">
        <f t="shared" si="30"/>
        <v>21849.500056684854</v>
      </c>
      <c r="H165" s="24">
        <f t="shared" si="30"/>
        <v>22420.508439781835</v>
      </c>
      <c r="I165" s="24">
        <f t="shared" si="30"/>
        <v>23070.703184535509</v>
      </c>
      <c r="J165" s="24">
        <f t="shared" si="30"/>
        <v>23739.753576887033</v>
      </c>
      <c r="K165" s="24">
        <f t="shared" si="30"/>
        <v>24496.441644110098</v>
      </c>
      <c r="L165" s="24">
        <f t="shared" si="30"/>
        <v>25136.624417104642</v>
      </c>
      <c r="M165" s="24">
        <f t="shared" si="30"/>
        <v>25865.586525200673</v>
      </c>
      <c r="N165" s="24">
        <f t="shared" si="30"/>
        <v>26615.688534431491</v>
      </c>
      <c r="O165" s="24">
        <f t="shared" si="30"/>
        <v>27464.045020091813</v>
      </c>
      <c r="P165" s="24">
        <f t="shared" si="30"/>
        <v>28181.782263485969</v>
      </c>
      <c r="Q165" s="24">
        <f t="shared" si="30"/>
        <v>28999.053949127057</v>
      </c>
    </row>
    <row r="166" spans="1:17" x14ac:dyDescent="0.2">
      <c r="A166" s="9" t="s">
        <v>51</v>
      </c>
      <c r="B166" s="18"/>
      <c r="C166" s="69" t="s">
        <v>118</v>
      </c>
      <c r="D166" s="69" t="s">
        <v>157</v>
      </c>
      <c r="E166" s="69" t="s">
        <v>174</v>
      </c>
      <c r="F166" s="69" t="s">
        <v>176</v>
      </c>
      <c r="G166" s="69" t="s">
        <v>181</v>
      </c>
      <c r="H166" s="69" t="s">
        <v>182</v>
      </c>
      <c r="I166" s="69" t="s">
        <v>183</v>
      </c>
      <c r="J166" s="69" t="s">
        <v>184</v>
      </c>
      <c r="K166" s="69" t="s">
        <v>185</v>
      </c>
      <c r="L166" s="69" t="s">
        <v>186</v>
      </c>
      <c r="M166" s="69" t="s">
        <v>187</v>
      </c>
      <c r="N166" s="69" t="s">
        <v>188</v>
      </c>
      <c r="O166" s="69" t="s">
        <v>189</v>
      </c>
      <c r="P166" s="69" t="s">
        <v>190</v>
      </c>
      <c r="Q166" s="69" t="s">
        <v>191</v>
      </c>
    </row>
    <row r="167" spans="1:17" x14ac:dyDescent="0.2">
      <c r="A167" s="17" t="s">
        <v>112</v>
      </c>
      <c r="B167" s="34" t="s">
        <v>69</v>
      </c>
      <c r="C167" s="24">
        <f>IF(C162=0,0,('Input Property 2'!$B$16*'Input Property 2'!B55)*(C162/365))</f>
        <v>1922.7984657534244</v>
      </c>
      <c r="D167" s="24">
        <f>IF(D162=0,0,('Input Property 2'!$B$16*'Input Property 2'!C55)*(D162/365))</f>
        <v>11697.023999999999</v>
      </c>
      <c r="E167" s="24">
        <f>IF(E162=0,0,('Input Property 2'!$B$16*'Input Property 2'!D55)*(E162/365))</f>
        <v>11697.023999999999</v>
      </c>
      <c r="F167" s="24">
        <f>IF(F162=0,0,('Input Property 2'!$B$16*'Input Property 2'!E55)*(F162/365))</f>
        <v>11697.023999999999</v>
      </c>
      <c r="G167" s="24">
        <f>IF(G162=0,0,('Input Property 2'!$B$16*'Input Property 2'!F55)*(G162/365))</f>
        <v>11729.070641095892</v>
      </c>
      <c r="H167" s="24">
        <f>IF(H162=0,0,('Input Property 2'!$B$16*'Input Property 2'!G55)*(H162/365))</f>
        <v>11697.023999999999</v>
      </c>
      <c r="I167" s="24">
        <f>IF(I162=0,0,('Input Property 2'!$B$16*'Input Property 2'!H55)*(I162/365))</f>
        <v>11697.023999999999</v>
      </c>
      <c r="J167" s="24">
        <f>IF(J162=0,0,('Input Property 2'!$B$16*'Input Property 2'!I55)*(J162/365))</f>
        <v>11697.023999999999</v>
      </c>
      <c r="K167" s="24">
        <f>IF(K162=0,0,('Input Property 2'!$B$16*'Input Property 2'!J55)*(K162/365))</f>
        <v>11729.070641095892</v>
      </c>
      <c r="L167" s="24">
        <f>IF(L162=0,0,('Input Property 2'!$B$16*'Input Property 2'!K55)*(L162/365))</f>
        <v>11697.023999999999</v>
      </c>
      <c r="M167" s="24">
        <f>IF(M162=0,0,('Input Property 2'!$B$16*'Input Property 2'!L55)*(M162/365))</f>
        <v>11697.023999999999</v>
      </c>
      <c r="N167" s="24">
        <f>IF(N162=0,0,('Input Property 2'!$B$16*'Input Property 2'!M55)*(N162/365))</f>
        <v>11697.023999999999</v>
      </c>
      <c r="O167" s="24">
        <f>IF(O162=0,0,('Input Property 2'!$B$16*'Input Property 2'!N55)*(O162/365))</f>
        <v>11729.070641095892</v>
      </c>
      <c r="P167" s="24">
        <f>IF(P162=0,0,('Input Property 2'!$B$16*'Input Property 2'!O55)*(P162/365))</f>
        <v>11697.023999999999</v>
      </c>
      <c r="Q167" s="24">
        <f>IF(Q162=0,0,('Input Property 2'!$B$16*'Input Property 2'!P55)*(Q162/365))</f>
        <v>11697.023999999999</v>
      </c>
    </row>
    <row r="168" spans="1:17" x14ac:dyDescent="0.2">
      <c r="A168" s="17" t="s">
        <v>113</v>
      </c>
      <c r="B168" s="34" t="s">
        <v>69</v>
      </c>
      <c r="C168" s="24">
        <f>('Input Property 2'!B17*'Input Property 2'!B19/(C162/365))</f>
        <v>0</v>
      </c>
      <c r="D168" s="24">
        <f t="shared" ref="D168:Q168" si="31">C168</f>
        <v>0</v>
      </c>
      <c r="E168" s="24">
        <f t="shared" si="31"/>
        <v>0</v>
      </c>
      <c r="F168" s="24">
        <f t="shared" si="31"/>
        <v>0</v>
      </c>
      <c r="G168" s="24">
        <f t="shared" si="31"/>
        <v>0</v>
      </c>
      <c r="H168" s="24">
        <f t="shared" si="31"/>
        <v>0</v>
      </c>
      <c r="I168" s="24">
        <f t="shared" si="31"/>
        <v>0</v>
      </c>
      <c r="J168" s="24">
        <f t="shared" si="31"/>
        <v>0</v>
      </c>
      <c r="K168" s="24">
        <f t="shared" si="31"/>
        <v>0</v>
      </c>
      <c r="L168" s="24">
        <f t="shared" si="31"/>
        <v>0</v>
      </c>
      <c r="M168" s="24">
        <f t="shared" si="31"/>
        <v>0</v>
      </c>
      <c r="N168" s="24">
        <f t="shared" si="31"/>
        <v>0</v>
      </c>
      <c r="O168" s="24">
        <f t="shared" si="31"/>
        <v>0</v>
      </c>
      <c r="P168" s="24">
        <f t="shared" si="31"/>
        <v>0</v>
      </c>
      <c r="Q168" s="24">
        <f t="shared" si="31"/>
        <v>0</v>
      </c>
    </row>
    <row r="169" spans="1:17" x14ac:dyDescent="0.2">
      <c r="A169" s="17" t="str">
        <f>'Input Property 2'!I17</f>
        <v>Property Management</v>
      </c>
      <c r="B169" s="372">
        <f>'Input Property 2'!$B$58</f>
        <v>7.0000000000000007E-2</v>
      </c>
      <c r="C169" s="24">
        <f>(C165*'Data Property 2'!$B$169)</f>
        <v>201.4</v>
      </c>
      <c r="D169" s="63">
        <f>D165*'Input Property 2'!C58</f>
        <v>1399.8516000000002</v>
      </c>
      <c r="E169" s="24">
        <f>E165*'Input Property 2'!D58</f>
        <v>1440.4472963999999</v>
      </c>
      <c r="F169" s="24">
        <f>F165*'Input Property 2'!E58</f>
        <v>1482.2202679955999</v>
      </c>
      <c r="G169" s="24">
        <f>G165*'Input Property 2'!F58</f>
        <v>1529.46500396794</v>
      </c>
      <c r="H169" s="24">
        <f>H165*'Input Property 2'!G58</f>
        <v>1569.4355907847287</v>
      </c>
      <c r="I169" s="24">
        <f>I165*'Input Property 2'!H58</f>
        <v>1614.9492229174857</v>
      </c>
      <c r="J169" s="24">
        <f>J165*'Input Property 2'!I58</f>
        <v>1661.7827503820924</v>
      </c>
      <c r="K169" s="24">
        <f>K165*'Input Property 2'!J58</f>
        <v>1714.750915087707</v>
      </c>
      <c r="L169" s="24">
        <f>L165*'Input Property 2'!K58</f>
        <v>1759.5637091973251</v>
      </c>
      <c r="M169" s="24">
        <f>M165*'Input Property 2'!L58</f>
        <v>1810.5910567640474</v>
      </c>
      <c r="N169" s="24">
        <f>N165*'Input Property 2'!M58</f>
        <v>1863.0981974102044</v>
      </c>
      <c r="O169" s="24">
        <f>O165*'Input Property 2'!N58</f>
        <v>1922.4831514064272</v>
      </c>
      <c r="P169" s="24">
        <f>P165*'Input Property 2'!O58</f>
        <v>1972.7247584440181</v>
      </c>
      <c r="Q169" s="24">
        <f>Q165*'Input Property 2'!P58</f>
        <v>2029.9337764388943</v>
      </c>
    </row>
    <row r="170" spans="1:17" x14ac:dyDescent="0.2">
      <c r="A170" s="17" t="s">
        <v>56</v>
      </c>
      <c r="B170" s="373"/>
      <c r="C170" s="24">
        <f>IF(C162=0,0,C163*'Input Property 2'!B54)</f>
        <v>380</v>
      </c>
      <c r="D170" s="63">
        <f>IF(D162=0,0,D163*'Input Property 2'!C54)</f>
        <v>391.02</v>
      </c>
      <c r="E170" s="24">
        <f>IF(E162=0,0,E163*'Input Property 2'!D54)</f>
        <v>402.35957999999994</v>
      </c>
      <c r="F170" s="24">
        <f>IF(F162=0,0,F163*'Input Property 2'!E54)</f>
        <v>414.02800781999991</v>
      </c>
      <c r="G170" s="24">
        <f>IF(G162=0,0,G163*'Input Property 2'!F54)</f>
        <v>426.03482004677988</v>
      </c>
      <c r="H170" s="24">
        <f>IF(H162=0,0,H163*'Input Property 2'!G54)</f>
        <v>438.38982982813644</v>
      </c>
      <c r="I170" s="24">
        <f>IF(I162=0,0,I163*'Input Property 2'!H54)</f>
        <v>451.10313489315234</v>
      </c>
      <c r="J170" s="24">
        <f>IF(J162=0,0,J163*'Input Property 2'!I54)</f>
        <v>464.1851258050537</v>
      </c>
      <c r="K170" s="24">
        <f>IF(K162=0,0,K163*'Input Property 2'!J54)</f>
        <v>477.64649445340024</v>
      </c>
      <c r="L170" s="24">
        <f>IF(L162=0,0,L163*'Input Property 2'!K54)</f>
        <v>491.49824279254881</v>
      </c>
      <c r="M170" s="24">
        <f>IF(M162=0,0,M163*'Input Property 2'!L54)</f>
        <v>505.75169183353267</v>
      </c>
      <c r="N170" s="24">
        <f>IF(N162=0,0,N163*'Input Property 2'!M54)</f>
        <v>520.41849089670507</v>
      </c>
      <c r="O170" s="24">
        <f>IF(O162=0,0,O163*'Input Property 2'!N54)</f>
        <v>535.51062713270949</v>
      </c>
      <c r="P170" s="24">
        <f>IF(P162=0,0,P163*'Input Property 2'!O54)</f>
        <v>551.04043531955801</v>
      </c>
      <c r="Q170" s="24">
        <f>IF(Q162=0,0,Q163*'Input Property 2'!P54)</f>
        <v>567.0206079438251</v>
      </c>
    </row>
    <row r="171" spans="1:17" x14ac:dyDescent="0.2">
      <c r="A171" s="17" t="str">
        <f>'Input Property 2'!J18</f>
        <v>Insurance</v>
      </c>
      <c r="B171" s="373">
        <f>'Input Property 2'!$K$18</f>
        <v>1200</v>
      </c>
      <c r="C171" s="24">
        <f>IF(C162=0,0,'Data Property 2'!B171*(C162/365))</f>
        <v>197.26027397260273</v>
      </c>
      <c r="D171" s="63">
        <f>IF(D162=0,0,('Data Property 2'!B171*(1+'Input Property 2'!C51))*(D162/(D161-C161)))</f>
        <v>1230</v>
      </c>
      <c r="E171" s="63">
        <f>IF(E162=0,0,(D171*(1+'Input Property 2'!D51))*(E162/(E161-D161)))</f>
        <v>1260.75</v>
      </c>
      <c r="F171" s="63">
        <f>IF(F162=0,0,(E171*(1+'Input Property 2'!E51))*(F162/(F161-E161)))</f>
        <v>1292.26875</v>
      </c>
      <c r="G171" s="63">
        <f>IF(G162=0,0,(F171*(1+'Input Property 2'!F51))*(G162/(G161-F161)))</f>
        <v>1324.5754687499998</v>
      </c>
      <c r="H171" s="63">
        <f>IF(H162=0,0,(G171*(1+'Input Property 2'!G51))*(H162/(H161-G161)))</f>
        <v>1357.6898554687498</v>
      </c>
      <c r="I171" s="63">
        <f>IF(I162=0,0,(H171*(1+'Input Property 2'!H51))*(I162/(I161-H161)))</f>
        <v>1391.6321018554684</v>
      </c>
      <c r="J171" s="63">
        <f>IF(J162=0,0,(I171*(1+'Input Property 2'!I51))*(J162/(J161-I161)))</f>
        <v>1426.422904401855</v>
      </c>
      <c r="K171" s="63">
        <f>IF(K162=0,0,(J171*(1+'Input Property 2'!J51))*(K162/(K161-J161)))</f>
        <v>1462.0834770119013</v>
      </c>
      <c r="L171" s="63">
        <f>IF(L162=0,0,(K171*(1+'Input Property 2'!K51))*(L162/(L161-K161)))</f>
        <v>1498.6355639371986</v>
      </c>
      <c r="M171" s="63">
        <f>IF(M162=0,0,(L171*(1+'Input Property 2'!L51))*(M162/(M161-L161)))</f>
        <v>1536.1014530356285</v>
      </c>
      <c r="N171" s="63">
        <f>IF(N162=0,0,(M171*(1+'Input Property 2'!M51))*(N162/(N161-M161)))</f>
        <v>1574.5039893615192</v>
      </c>
      <c r="O171" s="63">
        <f>IF(O162=0,0,(N171*(1+'Input Property 2'!N51))*(O162/(O161-N161)))</f>
        <v>1613.8665890955569</v>
      </c>
      <c r="P171" s="63">
        <f>IF(P162=0,0,(O171*(1+'Input Property 2'!O51))*(P162/(P161-O161)))</f>
        <v>1654.2132538229457</v>
      </c>
      <c r="Q171" s="63">
        <f>IF(Q162=0,0,(P171*(1+'Input Property 2'!P51))*(Q162/(Q161-P161)))</f>
        <v>1695.5685851685191</v>
      </c>
    </row>
    <row r="172" spans="1:17" x14ac:dyDescent="0.2">
      <c r="A172" s="17" t="str">
        <f>'Input Property 2'!J19</f>
        <v>Maintenance</v>
      </c>
      <c r="B172" s="373">
        <f>'Input Property 2'!$K$19</f>
        <v>1000</v>
      </c>
      <c r="C172" s="24">
        <f>IF(C162=0,0,'Data Property 2'!B172*(C162/365))</f>
        <v>164.38356164383561</v>
      </c>
      <c r="D172" s="63">
        <f>IF(D162=0,0,('Data Property 2'!B172*(1+'Input Property 2'!B51))*(D162/(D161-C161)))</f>
        <v>1025</v>
      </c>
      <c r="E172" s="63">
        <f>IF(E162=0,0,(D172*(1+'Input Property 2'!C51))*(E162/(E161-D161)))</f>
        <v>1050.625</v>
      </c>
      <c r="F172" s="63">
        <f>IF(F162=0,0,(E172*(1+'Input Property 2'!D51))*(F162/(F161-E161)))</f>
        <v>1076.890625</v>
      </c>
      <c r="G172" s="63">
        <f>IF(G162=0,0,(F172*(1+'Input Property 2'!E51))*(G162/(G161-F161)))</f>
        <v>1103.8128906249999</v>
      </c>
      <c r="H172" s="63">
        <f>IF(H162=0,0,(G172*(1+'Input Property 2'!F51))*(H162/(H161-G161)))</f>
        <v>1131.4082128906248</v>
      </c>
      <c r="I172" s="63">
        <f>IF(I162=0,0,(H172*(1+'Input Property 2'!G51))*(I162/(I161-H161)))</f>
        <v>1159.6934182128903</v>
      </c>
      <c r="J172" s="63">
        <f>IF(J162=0,0,(I172*(1+'Input Property 2'!H51))*(J162/(J161-I161)))</f>
        <v>1188.6857536682123</v>
      </c>
      <c r="K172" s="63">
        <f>IF(K162=0,0,(J172*(1+'Input Property 2'!I51))*(K162/(K161-J161)))</f>
        <v>1218.4028975099175</v>
      </c>
      <c r="L172" s="63">
        <f>IF(L162=0,0,(K172*(1+'Input Property 2'!J51))*(L162/(L161-K161)))</f>
        <v>1248.8629699476653</v>
      </c>
      <c r="M172" s="63">
        <f>IF(M162=0,0,(L172*(1+'Input Property 2'!K51))*(M162/(M161-L161)))</f>
        <v>1280.0845441963568</v>
      </c>
      <c r="N172" s="63">
        <f>IF(N162=0,0,(M172*(1+'Input Property 2'!L51))*(N162/(N161-M161)))</f>
        <v>1312.0866578012656</v>
      </c>
      <c r="O172" s="63">
        <f>IF(O162=0,0,(N172*(1+'Input Property 2'!M51))*(O162/(O161-N161)))</f>
        <v>1344.8888242462972</v>
      </c>
      <c r="P172" s="63">
        <f>IF(P162=0,0,(O172*(1+'Input Property 2'!N51))*(P162/(P161-O161)))</f>
        <v>1378.5110448524545</v>
      </c>
      <c r="Q172" s="63">
        <f>IF(Q162=0,0,(P172*(1+'Input Property 2'!O51))*(Q162/(Q161-P161)))</f>
        <v>1412.9738209737657</v>
      </c>
    </row>
    <row r="173" spans="1:17" x14ac:dyDescent="0.2">
      <c r="A173" s="17" t="str">
        <f>'Input Property 2'!J20</f>
        <v>Strata</v>
      </c>
      <c r="B173" s="373">
        <f>'Input Property 2'!$K$20</f>
        <v>0</v>
      </c>
      <c r="C173" s="24">
        <f>IF(C162=0,0,'Data Property 2'!B173*(C162/365))</f>
        <v>0</v>
      </c>
      <c r="D173" s="63">
        <f>IF(D162=0,0,('Data Property 2'!B173+('Data Property 2'!B173*'Input Property 2'!C$51))*(D162/(D161-C161)))</f>
        <v>0</v>
      </c>
      <c r="E173" s="63">
        <f>IF(E162=0,0,(D173+(D173*'Input Property 2'!D$51))*(E162/(E161-D161)))</f>
        <v>0</v>
      </c>
      <c r="F173" s="63">
        <f>IF(F162=0,0,(E173+(E173*'Input Property 2'!E$51))*(F162/(F161-E161)))</f>
        <v>0</v>
      </c>
      <c r="G173" s="63">
        <f>IF(G162=0,0,(F173+(F173*'Input Property 2'!F$51))*(G162/(G161-F161)))</f>
        <v>0</v>
      </c>
      <c r="H173" s="63">
        <f>IF(H162=0,0,(G173+(G173*'Input Property 2'!G$51))*(H162/(H161-G161)))</f>
        <v>0</v>
      </c>
      <c r="I173" s="63">
        <f>IF(I162=0,0,(H173+(H173*'Input Property 2'!H$51))*(I162/(I161-H161)))</f>
        <v>0</v>
      </c>
      <c r="J173" s="63">
        <f>IF(J162=0,0,(I173+(I173*'Input Property 2'!I$51))*(J162/(J161-I161)))</f>
        <v>0</v>
      </c>
      <c r="K173" s="63">
        <f>IF(K162=0,0,(J173+(J173*'Input Property 2'!J$51))*(K162/(K161-J161)))</f>
        <v>0</v>
      </c>
      <c r="L173" s="63">
        <f>IF(L162=0,0,(K173+(K173*'Input Property 2'!K$51))*(L162/(L161-K161)))</f>
        <v>0</v>
      </c>
      <c r="M173" s="63">
        <f>IF(M162=0,0,(L173+(L173*'Input Property 2'!L$51))*(M162/(M161-L161)))</f>
        <v>0</v>
      </c>
      <c r="N173" s="63">
        <f>IF(N162=0,0,(M173+(M173*'Input Property 2'!M$51))*(N162/(N161-M161)))</f>
        <v>0</v>
      </c>
      <c r="O173" s="63">
        <f>IF(O162=0,0,(N173+(N173*'Input Property 2'!N$51))*(O162/(O161-N161)))</f>
        <v>0</v>
      </c>
      <c r="P173" s="63">
        <f>IF(P162=0,0,(O173+(O173*'Input Property 2'!O$51))*(P162/(P161-O161)))</f>
        <v>0</v>
      </c>
      <c r="Q173" s="63">
        <f>IF(Q162=0,0,(P173+(P173*'Input Property 2'!P$51))*(Q162/(Q161-P161)))</f>
        <v>0</v>
      </c>
    </row>
    <row r="174" spans="1:17" x14ac:dyDescent="0.2">
      <c r="A174" s="17" t="str">
        <f>'Input Property 2'!J21</f>
        <v>Water Charges</v>
      </c>
      <c r="B174" s="373">
        <f>'Input Property 2'!$K$21</f>
        <v>2612.5</v>
      </c>
      <c r="C174" s="24">
        <f>IF(C162=0,0,'Data Property 2'!B174*(C162/365))</f>
        <v>429.45205479452051</v>
      </c>
      <c r="D174" s="24">
        <f>IF(D162=0,0,('Data Property 2'!B174+('Data Property 2'!B174*'Input Property 2'!C$51))*(D162/(D161-C161)))</f>
        <v>2677.8125</v>
      </c>
      <c r="E174" s="24">
        <f>IF(E162=0,0,(D174+(D174*'Input Property 2'!D$51))*(E162/(E161-D161)))</f>
        <v>2744.7578125</v>
      </c>
      <c r="F174" s="24">
        <f>IF(F162=0,0,(E174+(E174*'Input Property 2'!E$51))*(F162/(F161-E161)))</f>
        <v>2813.3767578124998</v>
      </c>
      <c r="G174" s="24">
        <f>IF(G162=0,0,(F174+(F174*'Input Property 2'!F$51))*(G162/(G161-F161)))</f>
        <v>2883.7111767578122</v>
      </c>
      <c r="H174" s="24">
        <f>IF(H162=0,0,(G174+(G174*'Input Property 2'!G$51))*(H162/(H161-G161)))</f>
        <v>2955.8039561767573</v>
      </c>
      <c r="I174" s="24">
        <f>IF(I162=0,0,(H174+(H174*'Input Property 2'!H$51))*(I162/(I161-H161)))</f>
        <v>3029.6990550811761</v>
      </c>
      <c r="J174" s="24">
        <f>IF(J162=0,0,(I174+(I174*'Input Property 2'!I$51))*(J162/(J161-I161)))</f>
        <v>3105.4415314582056</v>
      </c>
      <c r="K174" s="24">
        <f>IF(K162=0,0,(J174+(J174*'Input Property 2'!J$51))*(K162/(K161-J161)))</f>
        <v>3183.0775697446607</v>
      </c>
      <c r="L174" s="24">
        <f>IF(L162=0,0,(K174+(K174*'Input Property 2'!K$51))*(L162/(L161-K161)))</f>
        <v>3262.654508988277</v>
      </c>
      <c r="M174" s="24">
        <f>IF(M162=0,0,(L174+(L174*'Input Property 2'!L$51))*(M162/(M161-L161)))</f>
        <v>3344.2208717129838</v>
      </c>
      <c r="N174" s="24">
        <f>IF(N162=0,0,(M174+(M174*'Input Property 2'!M$51))*(N162/(N161-M161)))</f>
        <v>3427.8263935058085</v>
      </c>
      <c r="O174" s="24">
        <f>IF(O162=0,0,(N174+(N174*'Input Property 2'!N$51))*(O162/(O161-N161)))</f>
        <v>3513.5220533434535</v>
      </c>
      <c r="P174" s="24">
        <f>IF(P162=0,0,(O174+(O174*'Input Property 2'!O$51))*(P162/(P161-O161)))</f>
        <v>3601.36010467704</v>
      </c>
      <c r="Q174" s="24">
        <f>IF(Q162=0,0,(P174+(P174*'Input Property 2'!P$51))*(Q162/(Q161-P161)))</f>
        <v>3691.394107293966</v>
      </c>
    </row>
    <row r="175" spans="1:17" x14ac:dyDescent="0.2">
      <c r="A175" s="17" t="str">
        <f>'Input Property 2'!J22</f>
        <v>Cleaning</v>
      </c>
      <c r="B175" s="373">
        <f>'Input Property 2'!$K$22</f>
        <v>0</v>
      </c>
      <c r="C175" s="24">
        <f>IF(C162=0,0,('Data Property 2'!B175+('Data Property 2'!B175*'Input Property 2'!B$51))*(C162/(365)))</f>
        <v>0</v>
      </c>
      <c r="D175" s="24">
        <f>IF(D162=0,0,('Data Property 2'!B175+('Data Property 2'!B175*'Input Property 2'!C$51))*(D162/(D161-C161)))</f>
        <v>0</v>
      </c>
      <c r="E175" s="24">
        <f>IF(E162=0,0,(D175+(D175*'Input Property 2'!D$51))*(E162/(E161-D161)))</f>
        <v>0</v>
      </c>
      <c r="F175" s="24">
        <f>IF(F162=0,0,(E175+(E175*'Input Property 2'!E$51))*(F162/(F161-E161)))</f>
        <v>0</v>
      </c>
      <c r="G175" s="24">
        <f>IF(G162=0,0,(F175+(F175*'Input Property 2'!F$51))*(G162/(G161-F161)))</f>
        <v>0</v>
      </c>
      <c r="H175" s="24">
        <f>IF(H162=0,0,(G175+(G175*'Input Property 2'!G$51))*(H162/(H161-G161)))</f>
        <v>0</v>
      </c>
      <c r="I175" s="24">
        <f>IF(I162=0,0,(H175+(H175*'Input Property 2'!H$51))*(I162/(I161-H161)))</f>
        <v>0</v>
      </c>
      <c r="J175" s="24">
        <f>IF(J162=0,0,(I175+(I175*'Input Property 2'!I$51))*(J162/(J161-I161)))</f>
        <v>0</v>
      </c>
      <c r="K175" s="24">
        <f>IF(K162=0,0,(J175+(J175*'Input Property 2'!J$51))*(K162/(K161-J161)))</f>
        <v>0</v>
      </c>
      <c r="L175" s="24">
        <f>IF(L162=0,0,(K175+(K175*'Input Property 2'!K$51))*(L162/(L161-K161)))</f>
        <v>0</v>
      </c>
      <c r="M175" s="24">
        <f>IF(M162=0,0,(L175+(L175*'Input Property 2'!L$51))*(M162/(M161-L161)))</f>
        <v>0</v>
      </c>
      <c r="N175" s="24">
        <f>IF(N162=0,0,(M175+(M175*'Input Property 2'!M$51))*(N162/(N161-M161)))</f>
        <v>0</v>
      </c>
      <c r="O175" s="24">
        <f>IF(O162=0,0,(N175+(N175*'Input Property 2'!N$51))*(O162/(O161-N161)))</f>
        <v>0</v>
      </c>
      <c r="P175" s="24">
        <f>IF(P162=0,0,(O175+(O175*'Input Property 2'!O$51))*(P162/(P161-O161)))</f>
        <v>0</v>
      </c>
      <c r="Q175" s="24">
        <f>IF(Q162=0,0,(P175+(P175*'Input Property 2'!P$51))*(Q162/(Q161-P161)))</f>
        <v>0</v>
      </c>
    </row>
    <row r="176" spans="1:17" x14ac:dyDescent="0.2">
      <c r="A176" s="17" t="str">
        <f>'Input Property 2'!J23</f>
        <v>Council Rates</v>
      </c>
      <c r="B176" s="373">
        <f>'Input Property 2'!$K$23</f>
        <v>1800</v>
      </c>
      <c r="C176" s="24">
        <f>IF(C162=0,0,'Data Property 2'!B176*(C162/365))</f>
        <v>295.89041095890411</v>
      </c>
      <c r="D176" s="24">
        <f>IF(D162=0,0,('Data Property 2'!B176+('Data Property 2'!B176*'Input Property 2'!C$51))*(D162/(D161-C161)))</f>
        <v>1845</v>
      </c>
      <c r="E176" s="24">
        <f>IF(E162=0,0,(D176+(D176*'Input Property 2'!D$51))*(E162/(E161-D161)))</f>
        <v>1891.125</v>
      </c>
      <c r="F176" s="24">
        <f>IF(F162=0,0,(E176+(E176*'Input Property 2'!E$51))*(F162/(F161-E161)))</f>
        <v>1938.403125</v>
      </c>
      <c r="G176" s="24">
        <f>IF(G162=0,0,(F176+(F176*'Input Property 2'!F$51))*(G162/(G161-F161)))</f>
        <v>1986.8632031250002</v>
      </c>
      <c r="H176" s="24">
        <f>IF(H162=0,0,(G176+(G176*'Input Property 2'!G$51))*(H162/(H161-G161)))</f>
        <v>2036.5347832031252</v>
      </c>
      <c r="I176" s="24">
        <f>IF(I162=0,0,(H176+(H176*'Input Property 2'!H$51))*(I162/(I161-H161)))</f>
        <v>2087.4481527832036</v>
      </c>
      <c r="J176" s="24">
        <f>IF(J162=0,0,(I176+(I176*'Input Property 2'!I$51))*(J162/(J161-I161)))</f>
        <v>2139.6343566027836</v>
      </c>
      <c r="K176" s="24">
        <f>IF(K162=0,0,(J176+(J176*'Input Property 2'!J$51))*(K162/(K161-J161)))</f>
        <v>2193.1252155178531</v>
      </c>
      <c r="L176" s="24">
        <f>IF(L162=0,0,(K176+(K176*'Input Property 2'!K$51))*(L162/(L161-K161)))</f>
        <v>2247.9533459057993</v>
      </c>
      <c r="M176" s="24">
        <f>IF(M162=0,0,(L176+(L176*'Input Property 2'!L$51))*(M162/(M161-L161)))</f>
        <v>2304.1521795534445</v>
      </c>
      <c r="N176" s="24">
        <f>IF(N162=0,0,(M176+(M176*'Input Property 2'!M$51))*(N162/(N161-M161)))</f>
        <v>2361.7559840422805</v>
      </c>
      <c r="O176" s="24">
        <f>IF(O162=0,0,(N176+(N176*'Input Property 2'!N$51))*(O162/(O161-N161)))</f>
        <v>2420.7998836433376</v>
      </c>
      <c r="P176" s="24">
        <f>IF(P162=0,0,(O176+(O176*'Input Property 2'!O$51))*(P162/(P161-O161)))</f>
        <v>2481.3198807344211</v>
      </c>
      <c r="Q176" s="24">
        <f>IF(Q162=0,0,(P176+(P176*'Input Property 2'!P$51))*(Q162/(Q161-P161)))</f>
        <v>2543.3528777527818</v>
      </c>
    </row>
    <row r="177" spans="1:17" x14ac:dyDescent="0.2">
      <c r="A177" s="17" t="str">
        <f>'Input Property 2'!J24</f>
        <v>Gardening / Mowing</v>
      </c>
      <c r="B177" s="373">
        <f>'Input Property 2'!$K$24</f>
        <v>0</v>
      </c>
      <c r="C177" s="24">
        <f>IF(C162=0,0,'Data Property 2'!B177*(C162/365))</f>
        <v>0</v>
      </c>
      <c r="D177" s="24">
        <f>IF(D162=0,0,('Data Property 2'!B177+('Data Property 2'!B177*'Input Property 2'!C$51))*(D162/(D161-C161)))</f>
        <v>0</v>
      </c>
      <c r="E177" s="24">
        <f>IF(E162=0,0,(D177+(D177*'Input Property 2'!D$51))*(E162/(E161-D161)))</f>
        <v>0</v>
      </c>
      <c r="F177" s="24">
        <f>IF(F162=0,0,(E177+(E177*'Input Property 2'!E$51))*(F162/(F161-E161)))</f>
        <v>0</v>
      </c>
      <c r="G177" s="24">
        <f>IF(G162=0,0,(F177+(F177*'Input Property 2'!F$51))*(G162/(G161-F161)))</f>
        <v>0</v>
      </c>
      <c r="H177" s="24">
        <f>IF(H162=0,0,(G177+(G177*'Input Property 2'!G$51))*(H162/(H161-G161)))</f>
        <v>0</v>
      </c>
      <c r="I177" s="24">
        <f>IF(I162=0,0,(H177+(H177*'Input Property 2'!H$51))*(I162/(I161-H161)))</f>
        <v>0</v>
      </c>
      <c r="J177" s="24">
        <f>IF(J162=0,0,(I177+(I177*'Input Property 2'!I$51))*(J162/(J161-I161)))</f>
        <v>0</v>
      </c>
      <c r="K177" s="24">
        <f>IF(K162=0,0,(J177+(J177*'Input Property 2'!J$51))*(K162/(K161-J161)))</f>
        <v>0</v>
      </c>
      <c r="L177" s="24">
        <f>IF(L162=0,0,(K177+(K177*'Input Property 2'!K$51))*(L162/(L161-K161)))</f>
        <v>0</v>
      </c>
      <c r="M177" s="24">
        <f>IF(M162=0,0,(L177+(L177*'Input Property 2'!L$51))*(M162/(M161-L161)))</f>
        <v>0</v>
      </c>
      <c r="N177" s="24">
        <f>IF(N162=0,0,(M177+(M177*'Input Property 2'!M$51))*(N162/(N161-M161)))</f>
        <v>0</v>
      </c>
      <c r="O177" s="24">
        <f>IF(O162=0,0,(N177+(N177*'Input Property 2'!N$51))*(O162/(O161-N161)))</f>
        <v>0</v>
      </c>
      <c r="P177" s="24">
        <f>IF(P162=0,0,(O177+(O177*'Input Property 2'!O$51))*(P162/(P161-O161)))</f>
        <v>0</v>
      </c>
      <c r="Q177" s="24">
        <f>IF(Q162=0,0,(P177+(P177*'Input Property 2'!P$51))*(Q162/(Q161-P161)))</f>
        <v>0</v>
      </c>
    </row>
    <row r="178" spans="1:17" x14ac:dyDescent="0.2">
      <c r="A178" s="17" t="str">
        <f>'Input Property 2'!J25</f>
        <v>Land Tax</v>
      </c>
      <c r="B178" s="373">
        <f>'Input Property 2'!$K$25</f>
        <v>0</v>
      </c>
      <c r="C178" s="24">
        <f>IF(C162=0,0,'Data Property 2'!B178*(C162/365))</f>
        <v>0</v>
      </c>
      <c r="D178" s="24">
        <f>IF(D162=0,0,('Data Property 2'!B178+('Data Property 2'!B178*'Input Property 2'!C$51))*(D162/(D161-C161)))</f>
        <v>0</v>
      </c>
      <c r="E178" s="24">
        <f>IF(E162=0,0,(D178+(D178*'Input Property 2'!D$51))*(E162/(E161-D161)))</f>
        <v>0</v>
      </c>
      <c r="F178" s="24">
        <f>IF(F162=0,0,(E178+(E178*'Input Property 2'!E$51))*(F162/(F161-E161)))</f>
        <v>0</v>
      </c>
      <c r="G178" s="24">
        <f>IF(G162=0,0,(F178+(F178*'Input Property 2'!F$51))*(G162/(G161-F161)))</f>
        <v>0</v>
      </c>
      <c r="H178" s="24">
        <f>IF(H162=0,0,(G178+(G178*'Input Property 2'!G$51))*(H162/(H161-G161)))</f>
        <v>0</v>
      </c>
      <c r="I178" s="24">
        <f>IF(I162=0,0,(H178+(H178*'Input Property 2'!H$51))*(I162/(I161-H161)))</f>
        <v>0</v>
      </c>
      <c r="J178" s="24">
        <f>IF(J162=0,0,(I178+(I178*'Input Property 2'!I$51))*(J162/(J161-I161)))</f>
        <v>0</v>
      </c>
      <c r="K178" s="24">
        <f>IF(K162=0,0,(J178+(J178*'Input Property 2'!J$51))*(K162/(K161-J161)))</f>
        <v>0</v>
      </c>
      <c r="L178" s="24">
        <f>IF(L162=0,0,(K178+(K178*'Input Property 2'!K$51))*(L162/(L161-K161)))</f>
        <v>0</v>
      </c>
      <c r="M178" s="24">
        <f>IF(M162=0,0,(L178+(L178*'Input Property 2'!L$51))*(M162/(M161-L161)))</f>
        <v>0</v>
      </c>
      <c r="N178" s="24">
        <f>IF(N162=0,0,(M178+(M178*'Input Property 2'!M$51))*(N162/(N161-M161)))</f>
        <v>0</v>
      </c>
      <c r="O178" s="24">
        <f>IF(O162=0,0,(N178+(N178*'Input Property 2'!N$51))*(O162/(O161-N161)))</f>
        <v>0</v>
      </c>
      <c r="P178" s="24">
        <f>IF(P162=0,0,(O178+(O178*'Input Property 2'!O$51))*(P162/(P161-O161)))</f>
        <v>0</v>
      </c>
      <c r="Q178" s="24">
        <f>IF(Q162=0,0,(P178+(P178*'Input Property 2'!P$51))*(Q162/(Q161-P161)))</f>
        <v>0</v>
      </c>
    </row>
    <row r="179" spans="1:17" x14ac:dyDescent="0.2">
      <c r="A179" s="17" t="str">
        <f>'Input Property 2'!J26</f>
        <v>Legal Expenses</v>
      </c>
      <c r="B179" s="373">
        <f>'Input Property 2'!$K$26</f>
        <v>0</v>
      </c>
      <c r="C179" s="24">
        <f>IF(C162=0,0,'Data Property 2'!B179*(C162/365))</f>
        <v>0</v>
      </c>
      <c r="D179" s="24">
        <f>IF(D162=0,0,('Data Property 2'!B179+('Data Property 2'!B179*'Input Property 2'!C$51))*(D162/(D161-C161)))</f>
        <v>0</v>
      </c>
      <c r="E179" s="24">
        <f>IF(E162=0,0,(D179+(D179*'Input Property 2'!D$51))*(E162/(E161-D161)))</f>
        <v>0</v>
      </c>
      <c r="F179" s="24">
        <f>IF(F162=0,0,(E179+(E179*'Input Property 2'!E$51))*(F162/(F161-E161)))</f>
        <v>0</v>
      </c>
      <c r="G179" s="24">
        <f>IF(G162=0,0,(F179+(F179*'Input Property 2'!F$51))*(G162/(G161-F161)))</f>
        <v>0</v>
      </c>
      <c r="H179" s="24">
        <f>IF(H162=0,0,(G179+(G179*'Input Property 2'!G$51))*(H162/(H161-G161)))</f>
        <v>0</v>
      </c>
      <c r="I179" s="24">
        <f>IF(I162=0,0,(H179+(H179*'Input Property 2'!H$51))*(I162/(I161-H161)))</f>
        <v>0</v>
      </c>
      <c r="J179" s="24">
        <f>IF(J162=0,0,(I179+(I179*'Input Property 2'!I$51))*(J162/(J161-I161)))</f>
        <v>0</v>
      </c>
      <c r="K179" s="24">
        <f>IF(K162=0,0,(J179+(J179*'Input Property 2'!J$51))*(K162/(K161-J161)))</f>
        <v>0</v>
      </c>
      <c r="L179" s="24">
        <f>IF(L162=0,0,K179+(K179*'Input Property 2'!K$51)*(L162/(L161-K161)))</f>
        <v>0</v>
      </c>
      <c r="M179" s="24">
        <f>IF(M162=0,0,L179+(L179*'Input Property 2'!L$51)*(M162/(M161-L161)))</f>
        <v>0</v>
      </c>
      <c r="N179" s="24">
        <f>IF(N162=0,0,M179+(M179*'Input Property 2'!M$51)*(N162/(N161-M161)))</f>
        <v>0</v>
      </c>
      <c r="O179" s="24">
        <f>IF(O162=0,0,N179+(N179*'Input Property 2'!N$51)*(O162/(O161-N161)))</f>
        <v>0</v>
      </c>
      <c r="P179" s="24">
        <f>IF(P162=0,0,O179+(O179*'Input Property 2'!O$51)*(P162/(P161-O161)))</f>
        <v>0</v>
      </c>
      <c r="Q179" s="24">
        <f>IF(Q162=0,0,P179+(P179*'Input Property 2'!P$51)*(Q162/(Q161-P161)))</f>
        <v>0</v>
      </c>
    </row>
    <row r="180" spans="1:17" x14ac:dyDescent="0.2">
      <c r="A180" s="17" t="str">
        <f>'Input Property 2'!J27</f>
        <v>Pest Control</v>
      </c>
      <c r="B180" s="373">
        <f>'Input Property 2'!$K$27</f>
        <v>0</v>
      </c>
      <c r="C180" s="24">
        <f>IF(C162=0,0,'Data Property 2'!B180*(C162/365))</f>
        <v>0</v>
      </c>
      <c r="D180" s="24">
        <f>IF(D162=0,0,('Data Property 2'!B180+('Data Property 2'!B180*'Input Property 2'!C$51))*(D162/(D161-C161)))</f>
        <v>0</v>
      </c>
      <c r="E180" s="24">
        <f>IF(E162=0,0,(D180+(D180*'Input Property 2'!D$51))*(E162/(E161-D161)))</f>
        <v>0</v>
      </c>
      <c r="F180" s="24">
        <f>IF(F162=0,0,(E180+(E180*'Input Property 2'!E$51))*(F162/(F161-E161)))</f>
        <v>0</v>
      </c>
      <c r="G180" s="24">
        <f>IF(G162=0,0,(F180+(F180*'Input Property 2'!F$51))*(G162/(G161-F161)))</f>
        <v>0</v>
      </c>
      <c r="H180" s="24">
        <f>IF(H162=0,0,(G180+(G180*'Input Property 2'!G$51))*(H162/(H161-G161)))</f>
        <v>0</v>
      </c>
      <c r="I180" s="24">
        <f>IF(I162=0,0,(H180+(H180*'Input Property 2'!H$51))*(I162/(I161-H161)))</f>
        <v>0</v>
      </c>
      <c r="J180" s="24">
        <f>IF(J162=0,0,(I180+(I180*'Input Property 2'!I$51))*(J162/(J161-I161)))</f>
        <v>0</v>
      </c>
      <c r="K180" s="24">
        <f>IF(K162=0,0,(J180+(J180*'Input Property 2'!J$51))*(K162/(K161-J161)))</f>
        <v>0</v>
      </c>
      <c r="L180" s="24">
        <f>IF(L162=0,0,(K180+(K180*'Input Property 2'!K$51))*(L162/(L161-K161)))</f>
        <v>0</v>
      </c>
      <c r="M180" s="24">
        <f>IF(M162=0,0,(L180+(L180*'Input Property 2'!L$51))*(M162/(M161-L161)))</f>
        <v>0</v>
      </c>
      <c r="N180" s="24">
        <f>IF(N162=0,0,(M180+(M180*'Input Property 2'!M$51))*(N162/(N161-M161)))</f>
        <v>0</v>
      </c>
      <c r="O180" s="24">
        <f>IF(O162=0,0,(N180+(N180*'Input Property 2'!N$51))*(O162/(O161-N161)))</f>
        <v>0</v>
      </c>
      <c r="P180" s="24">
        <f>IF(P162=0,0,(O180+(O180*'Input Property 2'!O$51))*(P162/(P161-O161)))</f>
        <v>0</v>
      </c>
      <c r="Q180" s="24">
        <f>IF(Q162=0,0,(P180+(P180*'Input Property 2'!P$51))*(Q162/(Q161-P161)))</f>
        <v>0</v>
      </c>
    </row>
    <row r="181" spans="1:17" x14ac:dyDescent="0.2">
      <c r="A181" s="17" t="str">
        <f>'Input Property 2'!J28</f>
        <v>Bookkeeping</v>
      </c>
      <c r="B181" s="373">
        <f>'Input Property 2'!$K$28</f>
        <v>0</v>
      </c>
      <c r="C181" s="24">
        <f>IF(C162=0,0,'Data Property 2'!B181*(C162/365))</f>
        <v>0</v>
      </c>
      <c r="D181" s="24">
        <f>IF(D162=0,0,('Data Property 2'!B181+('Data Property 2'!B181*'Input Property 2'!C$51))*(D162/(D161-C161)))</f>
        <v>0</v>
      </c>
      <c r="E181" s="24">
        <f>IF(E162=0,0,(D181+(D181*'Input Property 2'!D$51))*(E162/(E161-D161)))</f>
        <v>0</v>
      </c>
      <c r="F181" s="24">
        <f>IF(F162=0,0,(E181+(E181*'Input Property 2'!E$51))*(F162/(F161-E161)))</f>
        <v>0</v>
      </c>
      <c r="G181" s="24">
        <f>IF(G162=0,0,(F181+(F181*'Input Property 2'!F$51))*(G162/(G161-F161)))</f>
        <v>0</v>
      </c>
      <c r="H181" s="24">
        <f>IF(H162=0,0,(G181+(G181*'Input Property 2'!G$51))*(H162/(H161-G161)))</f>
        <v>0</v>
      </c>
      <c r="I181" s="24">
        <f>IF(I162=0,0,(H181+(H181*'Input Property 2'!H$51))*(I162/(I161-H161)))</f>
        <v>0</v>
      </c>
      <c r="J181" s="24">
        <f>IF(J162=0,0,(I181+(I181*'Input Property 2'!I$51))*(J162/(J161-I161)))</f>
        <v>0</v>
      </c>
      <c r="K181" s="24">
        <f>IF(K162=0,0,(J181+(J181*'Input Property 2'!J$51))*(K162/(K161-J161)))</f>
        <v>0</v>
      </c>
      <c r="L181" s="24">
        <f>IF(L162=0,0,(K181+(K181*'Input Property 2'!K$51))*(L162/(L161-K161)))</f>
        <v>0</v>
      </c>
      <c r="M181" s="24">
        <f>IF(M162=0,0,(L181+(L181*'Input Property 2'!L$51))*(M162/(M161-L161)))</f>
        <v>0</v>
      </c>
      <c r="N181" s="24">
        <f>IF(N162=0,0,(M181+(M181*'Input Property 2'!M$51))*(N162/(N161-M161)))</f>
        <v>0</v>
      </c>
      <c r="O181" s="24">
        <f>IF(O162=0,0,(N181+(N181*'Input Property 2'!N$51))*(O162/(O161-N161)))</f>
        <v>0</v>
      </c>
      <c r="P181" s="24">
        <f>IF(P162=0,0,(O181+(O181*'Input Property 2'!O$51))*(P162/(P161-O161)))</f>
        <v>0</v>
      </c>
      <c r="Q181" s="24">
        <f>IF(Q162=0,0,(P181+(P181*'Input Property 2'!P$51))*(Q162/(Q161-P161)))</f>
        <v>0</v>
      </c>
    </row>
    <row r="182" spans="1:17" x14ac:dyDescent="0.2">
      <c r="A182" s="17" t="str">
        <f>'Input Property 2'!J29</f>
        <v>Postage and Stationery</v>
      </c>
      <c r="B182" s="373">
        <f>'Input Property 2'!$K$29</f>
        <v>0</v>
      </c>
      <c r="C182" s="24">
        <f>IF(C162=0,0,'Data Property 2'!B182*(C162/365))</f>
        <v>0</v>
      </c>
      <c r="D182" s="24">
        <f>IF(D162=0,0,('Data Property 2'!B182+('Data Property 2'!B182*'Input Property 2'!C$51))*(D162/(D161-C161)))</f>
        <v>0</v>
      </c>
      <c r="E182" s="24">
        <f>IF(E162=0,0,(D182+(D182*'Input Property 2'!D$51))*(E162/(E161-D161)))</f>
        <v>0</v>
      </c>
      <c r="F182" s="24">
        <f>IF(F162=0,0,(E182+(E182*'Input Property 2'!E$51))*(F162/(F161-E161)))</f>
        <v>0</v>
      </c>
      <c r="G182" s="24">
        <f>IF(G162=0,0,(F182+(F182*'Input Property 2'!F$51))*(G162/(G161-F161)))</f>
        <v>0</v>
      </c>
      <c r="H182" s="24">
        <f>IF(H162=0,0,(G182+(G182*'Input Property 2'!G$51))*(H162/(H161-G161)))</f>
        <v>0</v>
      </c>
      <c r="I182" s="24">
        <f>IF(I162=0,0,(H182+(H182*'Input Property 2'!H$51))*(I162/(I161-H161)))</f>
        <v>0</v>
      </c>
      <c r="J182" s="24">
        <f>IF(J162=0,0,(I182+(I182*'Input Property 2'!I$51))*(J162/(J161-I161)))</f>
        <v>0</v>
      </c>
      <c r="K182" s="24">
        <f>IF(K162=0,0,(J182+(J182*'Input Property 2'!J$51))*(K162/(K161-J161)))</f>
        <v>0</v>
      </c>
      <c r="L182" s="24">
        <f>IF(L162=0,0,(K182+(K182*'Input Property 2'!K$51))*(L162/(L161-K161)))</f>
        <v>0</v>
      </c>
      <c r="M182" s="24">
        <f>IF(M162=0,0,(L182+(L182*'Input Property 2'!L$51))*(M162/(M161-L161)))</f>
        <v>0</v>
      </c>
      <c r="N182" s="24">
        <f>IF(N162=0,0,(M182+(M182*'Input Property 2'!M$51))*(N162/(N161-M161)))</f>
        <v>0</v>
      </c>
      <c r="O182" s="24">
        <f>IF(O162=0,0,(N182+(N182*'Input Property 2'!N$51))*(O162/(O161-N161)))</f>
        <v>0</v>
      </c>
      <c r="P182" s="24">
        <f>IF(P162=0,0,(O182+(O182*'Input Property 2'!O$51))*(P162/(P161-O161)))</f>
        <v>0</v>
      </c>
      <c r="Q182" s="24">
        <f>IF(Q162=0,0,(P182+(P182*'Input Property 2'!P$51))*(Q162/(Q161-P161)))</f>
        <v>0</v>
      </c>
    </row>
    <row r="183" spans="1:17" x14ac:dyDescent="0.2">
      <c r="A183" s="17" t="str">
        <f>'Input Property 2'!J30</f>
        <v>Tax Related Expenses</v>
      </c>
      <c r="B183" s="373">
        <f>'Input Property 2'!$K$30</f>
        <v>574.75</v>
      </c>
      <c r="C183" s="24">
        <f>IF(C162=0,0,'Data Property 2'!B183*(C162/365))</f>
        <v>94.479452054794521</v>
      </c>
      <c r="D183" s="24">
        <f>IF(D162=0,0,('Data Property 2'!B183+('Data Property 2'!B183*'Input Property 2'!C$51))*(D162/(D161-C161)))</f>
        <v>589.11874999999998</v>
      </c>
      <c r="E183" s="24">
        <f>IF(E162=0,0,(D183+(D183*'Input Property 2'!D$51))*(E162/(E161-D161)))</f>
        <v>603.84671874999992</v>
      </c>
      <c r="F183" s="24">
        <f>IF(F162=0,0,(E183+(E183*'Input Property 2'!E$51))*(F162/(F161-E161)))</f>
        <v>618.94288671874995</v>
      </c>
      <c r="G183" s="24">
        <f>IF(G162=0,0,(F183+(F183*'Input Property 2'!F$51))*(G162/(G161-F161)))</f>
        <v>634.41645888671871</v>
      </c>
      <c r="H183" s="24">
        <f>IF(H162=0,0,(G183+(G183*'Input Property 2'!G$51))*(H162/(H161-G161)))</f>
        <v>650.27687035888664</v>
      </c>
      <c r="I183" s="24">
        <f>IF(I162=0,0,(H183+(H183*'Input Property 2'!H$51))*(I162/(I161-H161)))</f>
        <v>666.53379211785875</v>
      </c>
      <c r="J183" s="24">
        <f>IF(J162=0,0,(I183+(I183*'Input Property 2'!I$51))*(J162/(J161-I161)))</f>
        <v>683.19713692080518</v>
      </c>
      <c r="K183" s="24">
        <f>IF(K162=0,0,(J183+(J183*'Input Property 2'!J$51))*(K162/(K161-J161)))</f>
        <v>700.27706534382526</v>
      </c>
      <c r="L183" s="24">
        <f>IF(L162=0,0,(K183+(K183*'Input Property 2'!K$51))*(L162/(L161-K161)))</f>
        <v>717.7839919774209</v>
      </c>
      <c r="M183" s="24">
        <f>IF(M162=0,0,(L183+(L183*'Input Property 2'!L$51))*(M162/(M161-L161)))</f>
        <v>735.72859177685643</v>
      </c>
      <c r="N183" s="24">
        <f>IF(N162=0,0,(M183+(M183*'Input Property 2'!M$51))*(N162/(N161-M161)))</f>
        <v>754.12180657127783</v>
      </c>
      <c r="O183" s="24">
        <f>IF(O162=0,0,(N183+(N183*'Input Property 2'!N$51))*(O162/(O161-N161)))</f>
        <v>772.97485173555981</v>
      </c>
      <c r="P183" s="24">
        <f>IF(P162=0,0,(O183+(O183*'Input Property 2'!O$51))*(P162/(P161-O161)))</f>
        <v>792.29922302894886</v>
      </c>
      <c r="Q183" s="24">
        <f>IF(Q162=0,0,(P183+(P183*'Input Property 2'!P$51))*(Q162/(Q161-P161)))</f>
        <v>812.10670360467259</v>
      </c>
    </row>
    <row r="184" spans="1:17" x14ac:dyDescent="0.2">
      <c r="A184" s="17" t="str">
        <f>'Input Property 2'!J31</f>
        <v>Travel and Car Expenses</v>
      </c>
      <c r="B184" s="373">
        <f>'Input Property 2'!$K$31</f>
        <v>0</v>
      </c>
      <c r="C184" s="24">
        <f>IF(C162=0,0,'Data Property 2'!B184*(C162/365))</f>
        <v>0</v>
      </c>
      <c r="D184" s="24">
        <f>IF(D162=0,0,('Data Property 2'!B184+('Data Property 2'!B184*'Input Property 2'!C$51))*(D162/365))</f>
        <v>0</v>
      </c>
      <c r="E184" s="24">
        <f>IF(E162=0,0,(D184+(D184*'Input Property 2'!D$51))*(E162/365))</f>
        <v>0</v>
      </c>
      <c r="F184" s="24">
        <f>IF(F162=0,0,(E184+(E184*'Input Property 2'!E$51))*(F162/365))</f>
        <v>0</v>
      </c>
      <c r="G184" s="24">
        <f>IF(G162=0,0,(F184+(F184*'Input Property 2'!F$51))*(G162/365))</f>
        <v>0</v>
      </c>
      <c r="H184" s="24">
        <f>IF(H162=0,0,(G184+(G184*'Input Property 2'!G$51))*(H162/365))</f>
        <v>0</v>
      </c>
      <c r="I184" s="24">
        <f>IF(I162=0,0,(H184+(H184*'Input Property 2'!H$51))*(I162/365))</f>
        <v>0</v>
      </c>
      <c r="J184" s="24">
        <f>IF(J162=0,0,(I184+(I184*'Input Property 2'!I$51))*(J162/365))</f>
        <v>0</v>
      </c>
      <c r="K184" s="24">
        <f>IF(K162=0,0,(J184+(J184*'Input Property 2'!J$51))*(K162/365))</f>
        <v>0</v>
      </c>
      <c r="L184" s="24">
        <f>IF(L162=0,0,(K184+(K184*'Input Property 2'!K$51))*(L162/365))</f>
        <v>0</v>
      </c>
      <c r="M184" s="24">
        <f>IF(M162=0,0,(L184+(L184*'Input Property 2'!L$51))*(M162/365))</f>
        <v>0</v>
      </c>
      <c r="N184" s="24">
        <f>IF(N162=0,0,(M184+(M184*'Input Property 2'!M$51))*(N162/365))</f>
        <v>0</v>
      </c>
      <c r="O184" s="24">
        <f>IF(O162=0,0,(N184+(N184*'Input Property 2'!N$51))*(O162/365))</f>
        <v>0</v>
      </c>
      <c r="P184" s="24">
        <f>IF(P162=0,0,(O184+(O184*'Input Property 2'!O$51))*(P162/365))</f>
        <v>0</v>
      </c>
      <c r="Q184" s="24">
        <f>IF(Q162=0,0,(P184+(P184*'Input Property 2'!P$51))*(Q162/365))</f>
        <v>0</v>
      </c>
    </row>
    <row r="185" spans="1:17" x14ac:dyDescent="0.2">
      <c r="A185" s="17" t="str">
        <f>'Input Property 2'!A63</f>
        <v>Once Off Expenses</v>
      </c>
      <c r="B185" s="373"/>
      <c r="C185" s="24">
        <f>'Input Property 2'!B63</f>
        <v>50</v>
      </c>
      <c r="D185" s="24">
        <f>'Input Property 2'!C63</f>
        <v>0</v>
      </c>
      <c r="E185" s="24">
        <f>'Input Property 2'!D63</f>
        <v>0</v>
      </c>
      <c r="F185" s="24">
        <f>'Input Property 2'!E63</f>
        <v>0</v>
      </c>
      <c r="G185" s="24">
        <f>'Input Property 2'!F63</f>
        <v>0</v>
      </c>
      <c r="H185" s="24">
        <f>'Input Property 2'!G63</f>
        <v>0</v>
      </c>
      <c r="I185" s="24">
        <f>'Input Property 2'!H63</f>
        <v>0</v>
      </c>
      <c r="J185" s="24">
        <f>'Input Property 2'!I63</f>
        <v>0</v>
      </c>
      <c r="K185" s="24">
        <f>'Input Property 2'!J63</f>
        <v>0</v>
      </c>
      <c r="L185" s="24">
        <f>'Input Property 2'!K63</f>
        <v>0</v>
      </c>
      <c r="M185" s="24">
        <f>'Input Property 2'!L63</f>
        <v>0</v>
      </c>
      <c r="N185" s="24">
        <f>'Input Property 2'!M63</f>
        <v>0</v>
      </c>
      <c r="O185" s="24">
        <f>'Input Property 2'!N63</f>
        <v>0</v>
      </c>
      <c r="P185" s="24">
        <f>'Input Property 2'!O63</f>
        <v>0</v>
      </c>
      <c r="Q185" s="24">
        <f>'Input Property 2'!P63</f>
        <v>0</v>
      </c>
    </row>
    <row r="186" spans="1:17" x14ac:dyDescent="0.2">
      <c r="A186" s="35" t="s">
        <v>70</v>
      </c>
      <c r="B186" s="24"/>
      <c r="C186" s="24">
        <f t="shared" ref="C186:Q186" si="32">SUM(C169:C185)</f>
        <v>1812.8657534246574</v>
      </c>
      <c r="D186" s="24">
        <f t="shared" si="32"/>
        <v>9157.80285</v>
      </c>
      <c r="E186" s="24">
        <f t="shared" si="32"/>
        <v>9393.9114076499991</v>
      </c>
      <c r="F186" s="24">
        <f t="shared" si="32"/>
        <v>9636.1304203468499</v>
      </c>
      <c r="G186" s="24">
        <f t="shared" si="32"/>
        <v>9888.8790221592499</v>
      </c>
      <c r="H186" s="24">
        <f t="shared" si="32"/>
        <v>10139.539098711008</v>
      </c>
      <c r="I186" s="24">
        <f t="shared" si="32"/>
        <v>10401.058877861235</v>
      </c>
      <c r="J186" s="24">
        <f t="shared" si="32"/>
        <v>10669.349559239008</v>
      </c>
      <c r="K186" s="24">
        <f t="shared" si="32"/>
        <v>10949.363634669266</v>
      </c>
      <c r="L186" s="24">
        <f t="shared" si="32"/>
        <v>11226.952332746236</v>
      </c>
      <c r="M186" s="24">
        <f t="shared" si="32"/>
        <v>11516.630388872851</v>
      </c>
      <c r="N186" s="24">
        <f t="shared" si="32"/>
        <v>11813.81151958906</v>
      </c>
      <c r="O186" s="24">
        <f t="shared" si="32"/>
        <v>12124.045980603343</v>
      </c>
      <c r="P186" s="24">
        <f t="shared" si="32"/>
        <v>12431.468700879386</v>
      </c>
      <c r="Q186" s="24">
        <f t="shared" si="32"/>
        <v>12752.350479176428</v>
      </c>
    </row>
    <row r="187" spans="1:17" x14ac:dyDescent="0.2">
      <c r="A187" s="28" t="s">
        <v>49</v>
      </c>
      <c r="B187" s="24"/>
      <c r="C187" s="24">
        <f t="shared" ref="C187:Q187" si="33">C186+C167+C168</f>
        <v>3735.664219178082</v>
      </c>
      <c r="D187" s="24">
        <f t="shared" si="33"/>
        <v>20854.826849999998</v>
      </c>
      <c r="E187" s="24">
        <f t="shared" si="33"/>
        <v>21090.935407649999</v>
      </c>
      <c r="F187" s="24">
        <f t="shared" si="33"/>
        <v>21333.154420346851</v>
      </c>
      <c r="G187" s="24">
        <f t="shared" si="33"/>
        <v>21617.949663255142</v>
      </c>
      <c r="H187" s="24">
        <f t="shared" si="33"/>
        <v>21836.563098711005</v>
      </c>
      <c r="I187" s="24">
        <f t="shared" si="33"/>
        <v>22098.082877861234</v>
      </c>
      <c r="J187" s="24">
        <f t="shared" si="33"/>
        <v>22366.373559239008</v>
      </c>
      <c r="K187" s="24">
        <f t="shared" si="33"/>
        <v>22678.434275765158</v>
      </c>
      <c r="L187" s="24">
        <f t="shared" si="33"/>
        <v>22923.976332746235</v>
      </c>
      <c r="M187" s="24">
        <f t="shared" si="33"/>
        <v>23213.654388872848</v>
      </c>
      <c r="N187" s="24">
        <f t="shared" si="33"/>
        <v>23510.835519589062</v>
      </c>
      <c r="O187" s="24">
        <f t="shared" si="33"/>
        <v>23853.116621699235</v>
      </c>
      <c r="P187" s="24">
        <f t="shared" si="33"/>
        <v>24128.492700879386</v>
      </c>
      <c r="Q187" s="24">
        <f t="shared" si="33"/>
        <v>24449.374479176426</v>
      </c>
    </row>
    <row r="188" spans="1:17" x14ac:dyDescent="0.2">
      <c r="A188" s="9" t="s">
        <v>13</v>
      </c>
      <c r="B188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</row>
    <row r="189" spans="1:17" x14ac:dyDescent="0.2">
      <c r="A189" s="25" t="s">
        <v>37</v>
      </c>
      <c r="B189" s="20"/>
      <c r="C189" s="24">
        <f t="shared" ref="C189:Q189" si="34">C165-C187</f>
        <v>-858.52136203522514</v>
      </c>
      <c r="D189" s="24">
        <f t="shared" si="34"/>
        <v>-856.94684999999663</v>
      </c>
      <c r="E189" s="24">
        <f t="shared" si="34"/>
        <v>-513.11688765000144</v>
      </c>
      <c r="F189" s="24">
        <f t="shared" si="34"/>
        <v>-158.57916326685518</v>
      </c>
      <c r="G189" s="24">
        <f t="shared" si="34"/>
        <v>231.55039342971213</v>
      </c>
      <c r="H189" s="24">
        <f t="shared" si="34"/>
        <v>583.94534107083018</v>
      </c>
      <c r="I189" s="24">
        <f t="shared" si="34"/>
        <v>972.62030667427462</v>
      </c>
      <c r="J189" s="24">
        <f t="shared" si="34"/>
        <v>1373.3800176480254</v>
      </c>
      <c r="K189" s="24">
        <f t="shared" si="34"/>
        <v>1818.0073683449409</v>
      </c>
      <c r="L189" s="24">
        <f t="shared" si="34"/>
        <v>2212.6480843584068</v>
      </c>
      <c r="M189" s="24">
        <f t="shared" si="34"/>
        <v>2651.932136327825</v>
      </c>
      <c r="N189" s="24">
        <f t="shared" si="34"/>
        <v>3104.8530148424288</v>
      </c>
      <c r="O189" s="24">
        <f t="shared" si="34"/>
        <v>3610.9283983925779</v>
      </c>
      <c r="P189" s="24">
        <f t="shared" si="34"/>
        <v>4053.2895626065838</v>
      </c>
      <c r="Q189" s="24">
        <f t="shared" si="34"/>
        <v>4549.6794699506318</v>
      </c>
    </row>
    <row r="190" spans="1:17" x14ac:dyDescent="0.2">
      <c r="A190" s="25" t="s">
        <v>172</v>
      </c>
      <c r="B190" s="20"/>
      <c r="C190" s="24">
        <f>(C189/(C162/7))</f>
        <v>-100.16082557077627</v>
      </c>
      <c r="D190" s="24">
        <f>D189/'Input Property 2'!$B$64</f>
        <v>-16.400896650717637</v>
      </c>
      <c r="E190" s="24">
        <f>E189/'Input Property 2'!$B$64</f>
        <v>-9.8204189023923725</v>
      </c>
      <c r="F190" s="24">
        <f>F189/'Input Property 2'!$B$64</f>
        <v>-3.0350079094134963</v>
      </c>
      <c r="G190" s="24">
        <f>G189/'Input Property 2'!$B$64</f>
        <v>4.4315864771236768</v>
      </c>
      <c r="H190" s="24">
        <f>H189/'Input Property 2'!$B$64</f>
        <v>11.175987388915409</v>
      </c>
      <c r="I190" s="24">
        <f>I189/'Input Property 2'!$B$64</f>
        <v>18.614742711469372</v>
      </c>
      <c r="J190" s="24">
        <f>J189/'Input Property 2'!$B$64</f>
        <v>26.284785026756467</v>
      </c>
      <c r="K190" s="24">
        <f>K189/'Input Property 2'!$B$64</f>
        <v>34.794399394161552</v>
      </c>
      <c r="L190" s="24">
        <f>L189/'Input Property 2'!$B$64</f>
        <v>42.347331758055631</v>
      </c>
      <c r="M190" s="24">
        <f>M189/'Input Property 2'!$B$64</f>
        <v>50.754682034982295</v>
      </c>
      <c r="N190" s="24">
        <f>N189/'Input Property 2'!$B$64</f>
        <v>59.423024207510601</v>
      </c>
      <c r="O190" s="24">
        <f>O189/'Input Property 2'!$B$64</f>
        <v>69.10867748119766</v>
      </c>
      <c r="P190" s="24">
        <f>P189/'Input Property 2'!$B$64</f>
        <v>77.574919858499214</v>
      </c>
      <c r="Q190" s="24">
        <f>Q189/'Input Property 2'!$B$64</f>
        <v>87.075205166519268</v>
      </c>
    </row>
    <row r="191" spans="1:17" x14ac:dyDescent="0.2">
      <c r="A191" s="29" t="s">
        <v>12</v>
      </c>
      <c r="B191" s="20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</row>
    <row r="192" spans="1:17" x14ac:dyDescent="0.2">
      <c r="A192" s="17" t="s">
        <v>53</v>
      </c>
      <c r="B192" s="10"/>
      <c r="C192" s="24">
        <f t="shared" ref="C192:Q192" si="35">C167+C168</f>
        <v>1922.7984657534244</v>
      </c>
      <c r="D192" s="24">
        <f t="shared" si="35"/>
        <v>11697.023999999999</v>
      </c>
      <c r="E192" s="24">
        <f t="shared" si="35"/>
        <v>11697.023999999999</v>
      </c>
      <c r="F192" s="24">
        <f t="shared" si="35"/>
        <v>11697.023999999999</v>
      </c>
      <c r="G192" s="24">
        <f t="shared" si="35"/>
        <v>11729.070641095892</v>
      </c>
      <c r="H192" s="24">
        <f t="shared" si="35"/>
        <v>11697.023999999999</v>
      </c>
      <c r="I192" s="24">
        <f t="shared" si="35"/>
        <v>11697.023999999999</v>
      </c>
      <c r="J192" s="24">
        <f t="shared" si="35"/>
        <v>11697.023999999999</v>
      </c>
      <c r="K192" s="24">
        <f t="shared" si="35"/>
        <v>11729.070641095892</v>
      </c>
      <c r="L192" s="24">
        <f t="shared" si="35"/>
        <v>11697.023999999999</v>
      </c>
      <c r="M192" s="24">
        <f t="shared" si="35"/>
        <v>11697.023999999999</v>
      </c>
      <c r="N192" s="24">
        <f t="shared" si="35"/>
        <v>11697.023999999999</v>
      </c>
      <c r="O192" s="24">
        <f t="shared" si="35"/>
        <v>11729.070641095892</v>
      </c>
      <c r="P192" s="24">
        <f t="shared" si="35"/>
        <v>11697.023999999999</v>
      </c>
      <c r="Q192" s="24">
        <f t="shared" si="35"/>
        <v>11697.023999999999</v>
      </c>
    </row>
    <row r="193" spans="1:17" x14ac:dyDescent="0.2">
      <c r="A193" s="17" t="s">
        <v>52</v>
      </c>
      <c r="B193" s="15"/>
      <c r="C193" s="24">
        <f t="shared" ref="C193:Q193" si="36">C186</f>
        <v>1812.8657534246574</v>
      </c>
      <c r="D193" s="24">
        <f t="shared" si="36"/>
        <v>9157.80285</v>
      </c>
      <c r="E193" s="24">
        <f t="shared" si="36"/>
        <v>9393.9114076499991</v>
      </c>
      <c r="F193" s="24">
        <f t="shared" si="36"/>
        <v>9636.1304203468499</v>
      </c>
      <c r="G193" s="24">
        <f t="shared" si="36"/>
        <v>9888.8790221592499</v>
      </c>
      <c r="H193" s="24">
        <f t="shared" si="36"/>
        <v>10139.539098711008</v>
      </c>
      <c r="I193" s="24">
        <f t="shared" si="36"/>
        <v>10401.058877861235</v>
      </c>
      <c r="J193" s="24">
        <f t="shared" si="36"/>
        <v>10669.349559239008</v>
      </c>
      <c r="K193" s="24">
        <f t="shared" si="36"/>
        <v>10949.363634669266</v>
      </c>
      <c r="L193" s="24">
        <f t="shared" si="36"/>
        <v>11226.952332746236</v>
      </c>
      <c r="M193" s="24">
        <f t="shared" si="36"/>
        <v>11516.630388872851</v>
      </c>
      <c r="N193" s="24">
        <f t="shared" si="36"/>
        <v>11813.81151958906</v>
      </c>
      <c r="O193" s="24">
        <f t="shared" si="36"/>
        <v>12124.045980603343</v>
      </c>
      <c r="P193" s="24">
        <f t="shared" si="36"/>
        <v>12431.468700879386</v>
      </c>
      <c r="Q193" s="24">
        <f t="shared" si="36"/>
        <v>12752.350479176428</v>
      </c>
    </row>
    <row r="194" spans="1:17" x14ac:dyDescent="0.2">
      <c r="A194" s="36" t="s">
        <v>47</v>
      </c>
      <c r="B194" s="24"/>
      <c r="C194" s="24">
        <f t="shared" ref="C194:Q194" si="37">SUM(C192:C193)</f>
        <v>3735.664219178082</v>
      </c>
      <c r="D194" s="24">
        <f t="shared" si="37"/>
        <v>20854.826849999998</v>
      </c>
      <c r="E194" s="24">
        <f t="shared" si="37"/>
        <v>21090.935407649999</v>
      </c>
      <c r="F194" s="24">
        <f t="shared" si="37"/>
        <v>21333.154420346851</v>
      </c>
      <c r="G194" s="24">
        <f t="shared" si="37"/>
        <v>21617.949663255142</v>
      </c>
      <c r="H194" s="24">
        <f t="shared" si="37"/>
        <v>21836.563098711005</v>
      </c>
      <c r="I194" s="24">
        <f t="shared" si="37"/>
        <v>22098.082877861234</v>
      </c>
      <c r="J194" s="24">
        <f t="shared" si="37"/>
        <v>22366.373559239008</v>
      </c>
      <c r="K194" s="24">
        <f t="shared" si="37"/>
        <v>22678.434275765158</v>
      </c>
      <c r="L194" s="24">
        <f t="shared" si="37"/>
        <v>22923.976332746235</v>
      </c>
      <c r="M194" s="24">
        <f t="shared" si="37"/>
        <v>23213.654388872848</v>
      </c>
      <c r="N194" s="24">
        <f t="shared" si="37"/>
        <v>23510.835519589062</v>
      </c>
      <c r="O194" s="24">
        <f t="shared" si="37"/>
        <v>23853.116621699235</v>
      </c>
      <c r="P194" s="24">
        <f t="shared" si="37"/>
        <v>24128.492700879386</v>
      </c>
      <c r="Q194" s="24">
        <f t="shared" si="37"/>
        <v>24449.374479176426</v>
      </c>
    </row>
    <row r="195" spans="1:17" x14ac:dyDescent="0.2">
      <c r="A195" s="9" t="s">
        <v>14</v>
      </c>
      <c r="B195"/>
      <c r="C195" s="24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1:17" x14ac:dyDescent="0.2">
      <c r="A196" s="23" t="s">
        <v>45</v>
      </c>
      <c r="B196" s="24">
        <f>'Input Property 2'!$K$13</f>
        <v>1810</v>
      </c>
      <c r="C196" s="24">
        <f>'Data Property 2'!B196/5</f>
        <v>362</v>
      </c>
      <c r="D196" s="24">
        <f>C196</f>
        <v>362</v>
      </c>
      <c r="E196" s="24">
        <f>D196</f>
        <v>362</v>
      </c>
      <c r="F196" s="24">
        <f>E196</f>
        <v>362</v>
      </c>
      <c r="G196" s="24">
        <f>F196</f>
        <v>362</v>
      </c>
      <c r="H196"/>
      <c r="I196"/>
      <c r="J196"/>
      <c r="K196"/>
      <c r="L196"/>
      <c r="M196"/>
      <c r="N196"/>
      <c r="O196"/>
      <c r="P196"/>
      <c r="Q196"/>
    </row>
    <row r="197" spans="1:17" x14ac:dyDescent="0.2">
      <c r="A197" s="22" t="s">
        <v>15</v>
      </c>
      <c r="B197" s="10">
        <f>'Tax Table'!$C$3</f>
        <v>2.5000000000000001E-2</v>
      </c>
      <c r="C197" s="24">
        <f>IF(C162=0,0,'Input Property 2'!B61)</f>
        <v>3375</v>
      </c>
      <c r="D197" s="24">
        <f>IF(D162=0,0,'Input Property 2'!C61)</f>
        <v>3375</v>
      </c>
      <c r="E197" s="24">
        <f>IF(E162=0,0,'Input Property 2'!D61)</f>
        <v>3375</v>
      </c>
      <c r="F197" s="24">
        <f>IF(F162=0,0,'Input Property 2'!E61)</f>
        <v>3375</v>
      </c>
      <c r="G197" s="24">
        <f>IF(G162=0,0,'Input Property 2'!F61)</f>
        <v>3375</v>
      </c>
      <c r="H197" s="24">
        <f>IF(H162=0,0,'Input Property 2'!G61)</f>
        <v>3375</v>
      </c>
      <c r="I197" s="24">
        <f>IF(I162=0,0,'Input Property 2'!H61)</f>
        <v>3375</v>
      </c>
      <c r="J197" s="24">
        <f>IF(J162=0,0,'Input Property 2'!I61)</f>
        <v>3375</v>
      </c>
      <c r="K197" s="24">
        <f>IF(K162=0,0,'Input Property 2'!J61)</f>
        <v>3375</v>
      </c>
      <c r="L197" s="24">
        <f>IF(L162=0,0,'Input Property 2'!K61)</f>
        <v>3375</v>
      </c>
      <c r="M197" s="24">
        <f>IF(M162=0,0,'Input Property 2'!L61)</f>
        <v>3375</v>
      </c>
      <c r="N197" s="24">
        <f>IF(N162=0,0,'Input Property 2'!M61)</f>
        <v>3375</v>
      </c>
      <c r="O197" s="24">
        <f>IF(O162=0,0,'Input Property 2'!N61)</f>
        <v>3375</v>
      </c>
      <c r="P197" s="24">
        <f>IF(P162=0,0,'Input Property 2'!O61)</f>
        <v>3375</v>
      </c>
      <c r="Q197" s="24">
        <f>IF(Q162=0,0,'Input Property 2'!P61)</f>
        <v>3375</v>
      </c>
    </row>
    <row r="198" spans="1:17" x14ac:dyDescent="0.2">
      <c r="A198" s="22" t="s">
        <v>114</v>
      </c>
      <c r="B198" s="27">
        <f>'Input Property 2'!$B$35</f>
        <v>5000</v>
      </c>
      <c r="C198" s="24">
        <f>IF(C162=0,0,IF('Input Property 2'!B62&gt;0,'Input Property 2'!B62,IF('Input Property 2'!$B$62=0,'Data Property 2'!B199*0.3,'Input Property 2'!B62)))</f>
        <v>1500</v>
      </c>
      <c r="D198" s="24">
        <f>IF(D162=0,0,IF('Input Property 2'!C62&gt;0,'Input Property 2'!C62,IF('Input Property 2'!$B$62=0,C199*0.3,'Input Property 2'!C62)))</f>
        <v>1050</v>
      </c>
      <c r="E198" s="24">
        <f>IF(E162=0,0,IF('Input Property 2'!D62&gt;0,'Input Property 2'!D62,IF('Input Property 2'!$B$62=0,D199*0.3,'Input Property 2'!D62)))</f>
        <v>735</v>
      </c>
      <c r="F198" s="24">
        <f>IF(F162=0,0,IF('Input Property 2'!E62&gt;0,'Input Property 2'!E62,IF('Input Property 2'!$B$62=0,E199*0.3,'Input Property 2'!E62)))</f>
        <v>514.5</v>
      </c>
      <c r="G198" s="24">
        <f>IF(G162=0,0,IF('Input Property 2'!F62&gt;0,'Input Property 2'!F62,IF('Input Property 2'!$B$62=0,F199*0.3,'Input Property 2'!F62)))</f>
        <v>360.15</v>
      </c>
      <c r="H198" s="24">
        <f>IF(H162=0,0,IF('Input Property 2'!G62&gt;0,'Input Property 2'!G62,IF('Input Property 2'!$B$62=0,G199*0.3,'Input Property 2'!G62)))</f>
        <v>252.10499999999999</v>
      </c>
      <c r="I198" s="24">
        <f>IF(I162=0,0,IF('Input Property 2'!H62&gt;0,'Input Property 2'!H62,IF('Input Property 2'!$B$62=0,H199*0.3,'Input Property 2'!H62)))</f>
        <v>176.4735</v>
      </c>
      <c r="J198" s="24">
        <f>IF(J162=0,0,IF('Input Property 2'!I62&gt;0,'Input Property 2'!I62,IF('Input Property 2'!$B$62=0,I199*0.3,'Input Property 2'!I62)))</f>
        <v>123.53144999999999</v>
      </c>
      <c r="K198" s="24">
        <f>IF(K162=0,0,IF('Input Property 2'!J62&gt;0,'Input Property 2'!J62,IF('Input Property 2'!$B$62=0,J199*0.3,'Input Property 2'!J62)))</f>
        <v>86.472014999999999</v>
      </c>
      <c r="L198" s="24">
        <f>IF(L162=0,0,IF('Input Property 2'!K62&gt;0,'Input Property 2'!K62,IF('Input Property 2'!$B$62=0,K199*0.3,'Input Property 2'!K62)))</f>
        <v>60.530410499999995</v>
      </c>
      <c r="M198" s="24">
        <f>IF(M162=0,0,IF('Input Property 2'!L62&gt;0,'Input Property 2'!L62,IF('Input Property 2'!$B$62=0,L199*0.3,'Input Property 2'!L62)))</f>
        <v>42.371287350000003</v>
      </c>
      <c r="N198" s="24">
        <f>IF(N162=0,0,IF('Input Property 2'!M62&gt;0,'Input Property 2'!M62,IF('Input Property 2'!$B$62=0,M199*0.3,'Input Property 2'!M62)))</f>
        <v>29.659901144999999</v>
      </c>
      <c r="O198" s="24">
        <f>IF(O162=0,0,IF('Input Property 2'!N62&gt;0,'Input Property 2'!N62,IF('Input Property 2'!$B$62=0,N199*0.3,'Input Property 2'!N62)))</f>
        <v>20.7619308015</v>
      </c>
      <c r="P198" s="24">
        <f>IF(P162=0,0,IF('Input Property 2'!O62&gt;0,'Input Property 2'!O62,IF('Input Property 2'!$B$62=0,O199*0.3,'Input Property 2'!O62)))</f>
        <v>14.533351561049999</v>
      </c>
      <c r="Q198" s="24">
        <f>IF(Q162=0,0,IF('Input Property 2'!P62&gt;0,'Input Property 2'!P62,IF('Input Property 2'!$B$62=0,P199*0.3,'Input Property 2'!P62)))</f>
        <v>10.173346092735001</v>
      </c>
    </row>
    <row r="199" spans="1:17" x14ac:dyDescent="0.2">
      <c r="A199" s="22"/>
      <c r="B199" s="27">
        <f>B198</f>
        <v>5000</v>
      </c>
      <c r="C199" s="24">
        <f>'Data Property 2'!B199-C198</f>
        <v>3500</v>
      </c>
      <c r="D199" s="24">
        <f t="shared" ref="D199:Q199" si="38">C199-D198</f>
        <v>2450</v>
      </c>
      <c r="E199" s="24">
        <f t="shared" si="38"/>
        <v>1715</v>
      </c>
      <c r="F199" s="24">
        <f t="shared" si="38"/>
        <v>1200.5</v>
      </c>
      <c r="G199" s="24">
        <f t="shared" si="38"/>
        <v>840.35</v>
      </c>
      <c r="H199" s="24">
        <f t="shared" si="38"/>
        <v>588.245</v>
      </c>
      <c r="I199" s="24">
        <f t="shared" si="38"/>
        <v>411.7715</v>
      </c>
      <c r="J199" s="24">
        <f t="shared" si="38"/>
        <v>288.24005</v>
      </c>
      <c r="K199" s="24">
        <f t="shared" si="38"/>
        <v>201.768035</v>
      </c>
      <c r="L199" s="24">
        <f t="shared" si="38"/>
        <v>141.23762450000001</v>
      </c>
      <c r="M199" s="24">
        <f t="shared" si="38"/>
        <v>98.866337150000007</v>
      </c>
      <c r="N199" s="24">
        <f t="shared" si="38"/>
        <v>69.206436005</v>
      </c>
      <c r="O199" s="24">
        <f t="shared" si="38"/>
        <v>48.4445052035</v>
      </c>
      <c r="P199" s="24">
        <f t="shared" si="38"/>
        <v>33.911153642450003</v>
      </c>
      <c r="Q199" s="24">
        <f t="shared" si="38"/>
        <v>23.737807549715001</v>
      </c>
    </row>
    <row r="200" spans="1:17" x14ac:dyDescent="0.2">
      <c r="A200" s="28" t="s">
        <v>48</v>
      </c>
      <c r="B200" s="27"/>
      <c r="C200" s="24">
        <f t="shared" ref="C200:Q200" si="39">SUM(C196:C198)</f>
        <v>5237</v>
      </c>
      <c r="D200" s="24">
        <f t="shared" si="39"/>
        <v>4787</v>
      </c>
      <c r="E200" s="24">
        <f t="shared" si="39"/>
        <v>4472</v>
      </c>
      <c r="F200" s="24">
        <f t="shared" si="39"/>
        <v>4251.5</v>
      </c>
      <c r="G200" s="24">
        <f t="shared" si="39"/>
        <v>4097.1499999999996</v>
      </c>
      <c r="H200" s="24">
        <f t="shared" si="39"/>
        <v>3627.105</v>
      </c>
      <c r="I200" s="24">
        <f t="shared" si="39"/>
        <v>3551.4735000000001</v>
      </c>
      <c r="J200" s="24">
        <f t="shared" si="39"/>
        <v>3498.5314499999999</v>
      </c>
      <c r="K200" s="24">
        <f t="shared" si="39"/>
        <v>3461.4720149999998</v>
      </c>
      <c r="L200" s="24">
        <f t="shared" si="39"/>
        <v>3435.5304105</v>
      </c>
      <c r="M200" s="24">
        <f t="shared" si="39"/>
        <v>3417.3712873499999</v>
      </c>
      <c r="N200" s="24">
        <f t="shared" si="39"/>
        <v>3404.6599011449998</v>
      </c>
      <c r="O200" s="24">
        <f t="shared" si="39"/>
        <v>3395.7619308015001</v>
      </c>
      <c r="P200" s="24">
        <f t="shared" si="39"/>
        <v>3389.53335156105</v>
      </c>
      <c r="Q200" s="24">
        <f t="shared" si="39"/>
        <v>3385.1733460927348</v>
      </c>
    </row>
    <row r="201" spans="1:17" x14ac:dyDescent="0.2">
      <c r="A201" s="37" t="s">
        <v>40</v>
      </c>
      <c r="B201" s="20"/>
      <c r="C201" s="24">
        <f t="shared" ref="C201:Q201" si="40">C194+C200</f>
        <v>8972.6642191780811</v>
      </c>
      <c r="D201" s="24">
        <f t="shared" si="40"/>
        <v>25641.826849999998</v>
      </c>
      <c r="E201" s="24">
        <f t="shared" si="40"/>
        <v>25562.935407649999</v>
      </c>
      <c r="F201" s="24">
        <f t="shared" si="40"/>
        <v>25584.654420346851</v>
      </c>
      <c r="G201" s="24">
        <f t="shared" si="40"/>
        <v>25715.09966325514</v>
      </c>
      <c r="H201" s="24">
        <f t="shared" si="40"/>
        <v>25463.668098711005</v>
      </c>
      <c r="I201" s="24">
        <f t="shared" si="40"/>
        <v>25649.556377861234</v>
      </c>
      <c r="J201" s="24">
        <f t="shared" si="40"/>
        <v>25864.905009239006</v>
      </c>
      <c r="K201" s="24">
        <f t="shared" si="40"/>
        <v>26139.906290765157</v>
      </c>
      <c r="L201" s="24">
        <f t="shared" si="40"/>
        <v>26359.506743246235</v>
      </c>
      <c r="M201" s="24">
        <f t="shared" si="40"/>
        <v>26631.025676222849</v>
      </c>
      <c r="N201" s="24">
        <f t="shared" si="40"/>
        <v>26915.495420734063</v>
      </c>
      <c r="O201" s="24">
        <f t="shared" si="40"/>
        <v>27248.878552500733</v>
      </c>
      <c r="P201" s="24">
        <f t="shared" si="40"/>
        <v>27518.026052440437</v>
      </c>
      <c r="Q201" s="24">
        <f t="shared" si="40"/>
        <v>27834.547825269161</v>
      </c>
    </row>
    <row r="202" spans="1:17" x14ac:dyDescent="0.2">
      <c r="A202" s="37" t="s">
        <v>115</v>
      </c>
      <c r="B202" s="20"/>
      <c r="C202" s="24">
        <f t="shared" ref="C202:Q202" si="41">C165-C201</f>
        <v>-6095.5213620352242</v>
      </c>
      <c r="D202" s="24">
        <f t="shared" si="41"/>
        <v>-5643.9468499999966</v>
      </c>
      <c r="E202" s="24">
        <f t="shared" si="41"/>
        <v>-4985.1168876500014</v>
      </c>
      <c r="F202" s="24">
        <f t="shared" si="41"/>
        <v>-4410.0791632668552</v>
      </c>
      <c r="G202" s="24">
        <f t="shared" si="41"/>
        <v>-3865.5996065702857</v>
      </c>
      <c r="H202" s="24">
        <f t="shared" si="41"/>
        <v>-3043.1596589291694</v>
      </c>
      <c r="I202" s="24">
        <f t="shared" si="41"/>
        <v>-2578.8531933257254</v>
      </c>
      <c r="J202" s="24">
        <f t="shared" si="41"/>
        <v>-2125.1514323519732</v>
      </c>
      <c r="K202" s="24">
        <f t="shared" si="41"/>
        <v>-1643.4646466550585</v>
      </c>
      <c r="L202" s="24">
        <f t="shared" si="41"/>
        <v>-1222.8823261415928</v>
      </c>
      <c r="M202" s="24">
        <f t="shared" si="41"/>
        <v>-765.43915102217579</v>
      </c>
      <c r="N202" s="24">
        <f t="shared" si="41"/>
        <v>-299.80688630257282</v>
      </c>
      <c r="O202" s="24">
        <f t="shared" si="41"/>
        <v>215.16646759107971</v>
      </c>
      <c r="P202" s="24">
        <f t="shared" si="41"/>
        <v>663.75621104553284</v>
      </c>
      <c r="Q202" s="24">
        <f t="shared" si="41"/>
        <v>1164.5061238578965</v>
      </c>
    </row>
    <row r="203" spans="1:17" x14ac:dyDescent="0.2">
      <c r="A203" s="21" t="s">
        <v>42</v>
      </c>
      <c r="B203" s="20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</row>
    <row r="204" spans="1:17" x14ac:dyDescent="0.2">
      <c r="A204" s="37" t="s">
        <v>78</v>
      </c>
      <c r="B204" s="20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</row>
    <row r="205" spans="1:17" x14ac:dyDescent="0.2">
      <c r="A205" s="26" t="s">
        <v>79</v>
      </c>
      <c r="B205" s="15">
        <f>'Input Property 2'!B26</f>
        <v>0.5</v>
      </c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</row>
    <row r="206" spans="1:17" x14ac:dyDescent="0.2">
      <c r="A206" s="38" t="s">
        <v>74</v>
      </c>
      <c r="B206"/>
      <c r="C206" s="24">
        <f>'Input Property 2'!B46</f>
        <v>123000</v>
      </c>
      <c r="D206" s="24">
        <f>'Input Property 2'!C46</f>
        <v>125460</v>
      </c>
      <c r="E206" s="24">
        <f>'Input Property 2'!D46</f>
        <v>127969.2</v>
      </c>
      <c r="F206" s="24">
        <f>'Input Property 2'!E46</f>
        <v>130528.584</v>
      </c>
      <c r="G206" s="24">
        <f>'Input Property 2'!F46</f>
        <v>133139.15568</v>
      </c>
      <c r="H206" s="24">
        <f>'Input Property 2'!G46</f>
        <v>135801.93879360001</v>
      </c>
      <c r="I206" s="24">
        <f>'Input Property 2'!H46</f>
        <v>138517.97756947202</v>
      </c>
      <c r="J206" s="24">
        <f>'Input Property 2'!I46</f>
        <v>141288.33712086146</v>
      </c>
      <c r="K206" s="24">
        <f>'Input Property 2'!J46</f>
        <v>144114.10386327869</v>
      </c>
      <c r="L206" s="24">
        <f>'Input Property 2'!K46</f>
        <v>146996.38594054428</v>
      </c>
      <c r="M206" s="24">
        <f>'Input Property 2'!L46</f>
        <v>149936.31365935516</v>
      </c>
      <c r="N206" s="24">
        <f>'Input Property 2'!M46</f>
        <v>152935.03993254228</v>
      </c>
      <c r="O206" s="24">
        <f>'Input Property 2'!N46</f>
        <v>155993.74073119313</v>
      </c>
      <c r="P206" s="24">
        <f>'Input Property 2'!O46</f>
        <v>159113.61554581701</v>
      </c>
      <c r="Q206" s="24">
        <f>'Input Property 2'!P46</f>
        <v>162295.88785673334</v>
      </c>
    </row>
    <row r="207" spans="1:17" x14ac:dyDescent="0.2">
      <c r="A207" s="38" t="s">
        <v>76</v>
      </c>
      <c r="B207"/>
      <c r="C207" s="24">
        <f>'Tax Table'!G12</f>
        <v>33456.114999999998</v>
      </c>
      <c r="D207" s="63">
        <f>'Tax Table'!G23</f>
        <v>34366.315000000002</v>
      </c>
      <c r="E207" s="63">
        <f>'Tax Table'!G33</f>
        <v>35294.718999999997</v>
      </c>
      <c r="F207" s="63">
        <f>'Tax Table'!G43</f>
        <v>36241.691080000004</v>
      </c>
      <c r="G207" s="24">
        <f>'Tax Table'!G53</f>
        <v>37207.602601599996</v>
      </c>
      <c r="H207" s="24">
        <f>'Tax Table'!G63</f>
        <v>38192.832353632009</v>
      </c>
      <c r="I207" s="24">
        <f>'Tax Table'!G73</f>
        <v>39197.766700704648</v>
      </c>
      <c r="J207" s="24">
        <f>'Tax Table'!G83</f>
        <v>40222.799734718734</v>
      </c>
      <c r="K207" s="24">
        <f>'Tax Table'!G93</f>
        <v>41268.33342941312</v>
      </c>
      <c r="L207" s="24">
        <f>'Tax Table'!G103</f>
        <v>42334.777798001378</v>
      </c>
      <c r="M207" s="24">
        <f>'Tax Table'!G113</f>
        <v>43422.551053961412</v>
      </c>
      <c r="N207" s="24">
        <f>'Tax Table'!G123</f>
        <v>44532.079775040642</v>
      </c>
      <c r="O207" s="24">
        <f>'Tax Table'!G133</f>
        <v>45663.799070541456</v>
      </c>
      <c r="P207" s="24">
        <f>'Tax Table'!G143</f>
        <v>46818.152751952293</v>
      </c>
      <c r="Q207" s="24">
        <f>'Tax Table'!G153</f>
        <v>47995.593506991339</v>
      </c>
    </row>
    <row r="208" spans="1:17" x14ac:dyDescent="0.2">
      <c r="A208" s="26" t="s">
        <v>41</v>
      </c>
      <c r="B208" s="20"/>
      <c r="C208" s="24">
        <f>C202*'Data Property 2'!$B$205</f>
        <v>-3047.7606810176121</v>
      </c>
      <c r="D208" s="24">
        <f>D202*'Data Property 2'!$B$205</f>
        <v>-2821.9734249999983</v>
      </c>
      <c r="E208" s="24">
        <f>E202*'Data Property 2'!$B$205</f>
        <v>-2492.5584438250007</v>
      </c>
      <c r="F208" s="24">
        <f>F202*'Data Property 2'!$B$205</f>
        <v>-2205.0395816334276</v>
      </c>
      <c r="G208" s="24">
        <f>G202*'Data Property 2'!$B$205</f>
        <v>-1932.7998032851428</v>
      </c>
      <c r="H208" s="24">
        <f>H202*'Data Property 2'!$B$205</f>
        <v>-1521.5798294645847</v>
      </c>
      <c r="I208" s="24">
        <f>I202*'Data Property 2'!$B$205</f>
        <v>-1289.4265966628627</v>
      </c>
      <c r="J208" s="24">
        <f>J202*'Data Property 2'!$B$205</f>
        <v>-1062.5757161759866</v>
      </c>
      <c r="K208" s="24">
        <f>K202*'Data Property 2'!$B$205</f>
        <v>-821.73232332752923</v>
      </c>
      <c r="L208" s="24">
        <f>L202*'Data Property 2'!$B$205</f>
        <v>-611.44116307079639</v>
      </c>
      <c r="M208" s="24">
        <f>M202*'Data Property 2'!$B$205</f>
        <v>-382.7195755110879</v>
      </c>
      <c r="N208" s="24">
        <f>N202*'Data Property 2'!$B$205</f>
        <v>-149.90344315128641</v>
      </c>
      <c r="O208" s="24">
        <f>O202*'Data Property 2'!$B$205</f>
        <v>107.58323379553985</v>
      </c>
      <c r="P208" s="24">
        <f>P202*'Data Property 2'!$B$205</f>
        <v>331.87810552276642</v>
      </c>
      <c r="Q208" s="24">
        <f>Q202*'Data Property 2'!$B$205</f>
        <v>582.25306192894823</v>
      </c>
    </row>
    <row r="209" spans="1:17" x14ac:dyDescent="0.2">
      <c r="A209" s="38" t="s">
        <v>75</v>
      </c>
      <c r="B209"/>
      <c r="C209" s="24">
        <f>IF(C161&lt;'Input Property 2'!$B$33,C206+C208,C206+C208+C236)</f>
        <v>119952.23931898239</v>
      </c>
      <c r="D209" s="24">
        <f>IF(C161&lt;'Input Property 2'!$B$33,IF(D161&lt;'Input Property 2'!$B$33,D206+D208,D206+D208+D236),D206)</f>
        <v>122638.026575</v>
      </c>
      <c r="E209" s="24">
        <f>IF(D161&lt;'Input Property 2'!$B$33,IF(E161&lt;'Input Property 2'!$B$33,E206+E208,E206+E208+E236),E206)</f>
        <v>125476.64155617499</v>
      </c>
      <c r="F209" s="24">
        <f>IF(E161&lt;'Input Property 2'!$B$33,IF(F161&lt;'Input Property 2'!$B$33,F206+F208,F206+F208+F236),F206)</f>
        <v>128323.54441836657</v>
      </c>
      <c r="G209" s="24">
        <f>IF(F161&lt;'Input Property 2'!$B$33,IF(G161&lt;'Input Property 2'!$B$33,G206+G208,G206+G208+G236),G206)</f>
        <v>131206.35587671486</v>
      </c>
      <c r="H209" s="24">
        <f>IF(G161&lt;'Input Property 2'!$B$33,IF(H161&lt;'Input Property 2'!$B$33,H206+H208,H206+H208+H236),H206)</f>
        <v>134280.35896413543</v>
      </c>
      <c r="I209" s="24">
        <f>IF(H161&lt;'Input Property 2'!$B$33,IF(I161&lt;'Input Property 2'!$B$33,I206+I208,I206+I208+I236),I206)</f>
        <v>137228.55097280914</v>
      </c>
      <c r="J209" s="24">
        <f>IF(I161&lt;'Input Property 2'!$B$33,IF(J161&lt;'Input Property 2'!$B$33,J206+J208,J206+J208+J236),J206)</f>
        <v>140225.76140468547</v>
      </c>
      <c r="K209" s="24">
        <f>IF(J161&lt;'Input Property 2'!$B$33,IF(K161&lt;'Input Property 2'!$B$33,K206+K208,K206+K208+K236),K206)</f>
        <v>143292.37153995116</v>
      </c>
      <c r="L209" s="24">
        <f>IF(K161&lt;'Input Property 2'!$B$33,IF(L161&lt;'Input Property 2'!$B$33,L206+L208,L206+L208+L236),L206)</f>
        <v>146384.94477747349</v>
      </c>
      <c r="M209" s="24">
        <f>IF(L161&lt;'Input Property 2'!$B$33,IF(M161&lt;'Input Property 2'!$B$33,M206+M208,M206+M208+M236),M206)</f>
        <v>149553.59408384407</v>
      </c>
      <c r="N209" s="24">
        <f>IF(M161&lt;'Input Property 2'!$B$33,IF(N161&lt;'Input Property 2'!$B$33,N206+N208,N206+N208+N236),N206)</f>
        <v>152785.13648939098</v>
      </c>
      <c r="O209" s="24">
        <f>IF(N161&lt;'Input Property 2'!$B$33,IF(O161&lt;'Input Property 2'!$B$33,O206+O208,O206+O208+O236),O206)</f>
        <v>156101.32396498867</v>
      </c>
      <c r="P209" s="24">
        <f>IF(O161&lt;'Input Property 2'!$B$33,IF(P161&lt;'Input Property 2'!$B$33,P206+P208,P206+P208+P236),P206)</f>
        <v>159445.49365133978</v>
      </c>
      <c r="Q209" s="24">
        <f>IF(P161&lt;'Input Property 2'!$B$33,IF(Q161&lt;'Input Property 2'!$B$33,Q206+Q208,Q206+Q208+Q236),Q206)</f>
        <v>162878.14091866231</v>
      </c>
    </row>
    <row r="210" spans="1:17" x14ac:dyDescent="0.2">
      <c r="A210" s="38" t="s">
        <v>77</v>
      </c>
      <c r="B210"/>
      <c r="C210" s="24">
        <f>'Tax Table'!H12</f>
        <v>32352.368616183954</v>
      </c>
      <c r="D210" s="63">
        <f>'Tax Table'!H23</f>
        <v>33130.679630721621</v>
      </c>
      <c r="E210" s="24">
        <f>'Tax Table'!H33</f>
        <v>34196.449798365175</v>
      </c>
      <c r="F210" s="24">
        <f>'Tax Table'!H43</f>
        <v>35267.893639862647</v>
      </c>
      <c r="G210" s="24">
        <f>'Tax Table'!H53</f>
        <v>36349.175663226393</v>
      </c>
      <c r="H210" s="24">
        <f>'Tax Table'!H63</f>
        <v>37514.23194346972</v>
      </c>
      <c r="I210" s="24">
        <f>'Tax Table'!H73</f>
        <v>38623.79492318078</v>
      </c>
      <c r="J210" s="24">
        <f>'Tax Table'!H83</f>
        <v>39755.554043107128</v>
      </c>
      <c r="K210" s="24">
        <f>'Tax Table'!H93</f>
        <v>40908.497432896009</v>
      </c>
      <c r="L210" s="24">
        <f>'Tax Table'!H103</f>
        <v>42088.271204551362</v>
      </c>
      <c r="M210" s="24">
        <f>'Tax Table'!H113</f>
        <v>43283.381543895208</v>
      </c>
      <c r="N210" s="24">
        <f>'Tax Table'!H123</f>
        <v>44507.495533255453</v>
      </c>
      <c r="O210" s="24">
        <f>'Tax Table'!H133</f>
        <v>45757.275875182058</v>
      </c>
      <c r="P210" s="24">
        <f>'Tax Table'!H143</f>
        <v>47039.383585117554</v>
      </c>
      <c r="Q210" s="24">
        <f>'Tax Table'!H153</f>
        <v>48337.019010134041</v>
      </c>
    </row>
    <row r="211" spans="1:17" x14ac:dyDescent="0.2">
      <c r="A211" s="26" t="s">
        <v>71</v>
      </c>
      <c r="B211" s="20"/>
      <c r="C211" s="24">
        <f t="shared" ref="C211:Q211" si="42">C207-C210</f>
        <v>1103.7463838160438</v>
      </c>
      <c r="D211" s="24">
        <f t="shared" si="42"/>
        <v>1235.6353692783814</v>
      </c>
      <c r="E211" s="24">
        <f t="shared" si="42"/>
        <v>1098.2692016348228</v>
      </c>
      <c r="F211" s="24">
        <f t="shared" si="42"/>
        <v>973.79744013735763</v>
      </c>
      <c r="G211" s="24">
        <f t="shared" si="42"/>
        <v>858.42693837360275</v>
      </c>
      <c r="H211" s="24">
        <f t="shared" si="42"/>
        <v>678.60041016228934</v>
      </c>
      <c r="I211" s="24">
        <f t="shared" si="42"/>
        <v>573.97177752386779</v>
      </c>
      <c r="J211" s="24">
        <f t="shared" si="42"/>
        <v>467.24569161160616</v>
      </c>
      <c r="K211" s="24">
        <f t="shared" si="42"/>
        <v>359.8359965171112</v>
      </c>
      <c r="L211" s="24">
        <f t="shared" si="42"/>
        <v>246.50659345001623</v>
      </c>
      <c r="M211" s="24">
        <f t="shared" si="42"/>
        <v>139.16951006620366</v>
      </c>
      <c r="N211" s="24">
        <f t="shared" si="42"/>
        <v>24.584241785189079</v>
      </c>
      <c r="O211" s="24">
        <f t="shared" si="42"/>
        <v>-93.476804640602495</v>
      </c>
      <c r="P211" s="24">
        <f t="shared" si="42"/>
        <v>-221.23083316526026</v>
      </c>
      <c r="Q211" s="24">
        <f t="shared" si="42"/>
        <v>-341.42550314270193</v>
      </c>
    </row>
    <row r="212" spans="1:17" x14ac:dyDescent="0.2">
      <c r="A212" s="26" t="s">
        <v>166</v>
      </c>
      <c r="B212" s="20"/>
      <c r="C212" s="24">
        <f>C211/(C162/7)</f>
        <v>128.77041144520513</v>
      </c>
      <c r="D212" s="24">
        <f>D211/'Input Property 2'!$B$64</f>
        <v>23.648523813940315</v>
      </c>
      <c r="E212" s="24">
        <f>E211/'Input Property 2'!$B$64</f>
        <v>21.019506251384168</v>
      </c>
      <c r="F212" s="24">
        <f>F211/'Input Property 2'!$B$64</f>
        <v>18.637271581576222</v>
      </c>
      <c r="G212" s="24">
        <f>G211/'Input Property 2'!$B$64</f>
        <v>16.429223700930198</v>
      </c>
      <c r="H212" s="24">
        <f>H211/'Input Property 2'!$B$64</f>
        <v>12.987567658608409</v>
      </c>
      <c r="I212" s="24">
        <f>I211/'Input Property 2'!$B$64</f>
        <v>10.985105789930484</v>
      </c>
      <c r="J212" s="24">
        <f>J211/'Input Property 2'!$B$64</f>
        <v>8.9425012748632753</v>
      </c>
      <c r="K212" s="24">
        <f>K211/'Input Property 2'!$B$64</f>
        <v>6.8868133304710275</v>
      </c>
      <c r="L212" s="24">
        <f>L211/'Input Property 2'!$B$64</f>
        <v>4.7178295397132288</v>
      </c>
      <c r="M212" s="24">
        <f>M211/'Input Property 2'!$B$64</f>
        <v>2.6635312931330843</v>
      </c>
      <c r="N212" s="24">
        <f>N211/'Input Property 2'!$B$64</f>
        <v>0.47051180450122637</v>
      </c>
      <c r="O212" s="24">
        <f>O211/'Input Property 2'!$B$64</f>
        <v>-1.7890297538871291</v>
      </c>
      <c r="P212" s="24">
        <f>P211/'Input Property 2'!$B$64</f>
        <v>-4.2340829313925408</v>
      </c>
      <c r="Q212" s="24">
        <f>Q211/'Input Property 2'!$B$64</f>
        <v>-6.5344593902909462</v>
      </c>
    </row>
    <row r="213" spans="1:17" x14ac:dyDescent="0.2">
      <c r="A213" s="37" t="s">
        <v>80</v>
      </c>
      <c r="B213" s="20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</row>
    <row r="214" spans="1:17" x14ac:dyDescent="0.2">
      <c r="A214" s="26" t="s">
        <v>81</v>
      </c>
      <c r="B214" s="15">
        <f>1-B205</f>
        <v>0.5</v>
      </c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</row>
    <row r="215" spans="1:17" x14ac:dyDescent="0.2">
      <c r="A215" s="38" t="s">
        <v>74</v>
      </c>
      <c r="B215"/>
      <c r="C215" s="24">
        <f>'Input Property 2'!B48</f>
        <v>96000</v>
      </c>
      <c r="D215" s="24">
        <f>'Input Property 2'!C48</f>
        <v>97920</v>
      </c>
      <c r="E215" s="24">
        <f>'Input Property 2'!D48</f>
        <v>99878.400000000009</v>
      </c>
      <c r="F215" s="24">
        <f>'Input Property 2'!E48</f>
        <v>101875.96800000001</v>
      </c>
      <c r="G215" s="24">
        <f>'Input Property 2'!F48</f>
        <v>103913.48736000001</v>
      </c>
      <c r="H215" s="24">
        <f>'Input Property 2'!G48</f>
        <v>105991.75710720001</v>
      </c>
      <c r="I215" s="24">
        <f>'Input Property 2'!H48</f>
        <v>108111.59224934402</v>
      </c>
      <c r="J215" s="24">
        <f>'Input Property 2'!I48</f>
        <v>110273.82409433089</v>
      </c>
      <c r="K215" s="24">
        <f>'Input Property 2'!J48</f>
        <v>112479.30057621752</v>
      </c>
      <c r="L215" s="24">
        <f>'Input Property 2'!K48</f>
        <v>114728.88658774187</v>
      </c>
      <c r="M215" s="24">
        <f>'Input Property 2'!L48</f>
        <v>117023.46431949671</v>
      </c>
      <c r="N215" s="24">
        <f>'Input Property 2'!M48</f>
        <v>119363.93360588665</v>
      </c>
      <c r="O215" s="24">
        <f>'Input Property 2'!N48</f>
        <v>121751.21227800439</v>
      </c>
      <c r="P215" s="24">
        <f>'Input Property 2'!O48</f>
        <v>124186.23652356448</v>
      </c>
      <c r="Q215" s="24">
        <f>'Input Property 2'!P48</f>
        <v>126669.96125403578</v>
      </c>
    </row>
    <row r="216" spans="1:17" x14ac:dyDescent="0.2">
      <c r="A216" s="38" t="s">
        <v>76</v>
      </c>
      <c r="B216"/>
      <c r="C216" s="24">
        <f>'Tax Table'!I12</f>
        <v>23466.115000000002</v>
      </c>
      <c r="D216" s="63">
        <f>'Tax Table'!I23</f>
        <v>24176.514999999999</v>
      </c>
      <c r="E216" s="24">
        <f>'Tax Table'!I33</f>
        <v>24901.123000000003</v>
      </c>
      <c r="F216" s="24">
        <f>'Tax Table'!I43</f>
        <v>25640.223160000001</v>
      </c>
      <c r="G216" s="24">
        <f>'Tax Table'!I53</f>
        <v>26394.105323200005</v>
      </c>
      <c r="H216" s="24">
        <f>'Tax Table'!I63</f>
        <v>27163.065129664006</v>
      </c>
      <c r="I216" s="24">
        <f>'Tax Table'!I73</f>
        <v>27947.404132257288</v>
      </c>
      <c r="J216" s="24">
        <f>'Tax Table'!I83</f>
        <v>28747.42991490243</v>
      </c>
      <c r="K216" s="24">
        <f>'Tax Table'!I93</f>
        <v>29563.456213200479</v>
      </c>
      <c r="L216" s="24">
        <f>'Tax Table'!I103</f>
        <v>30395.803037464495</v>
      </c>
      <c r="M216" s="24">
        <f>'Tax Table'!I113</f>
        <v>31244.796798213782</v>
      </c>
      <c r="N216" s="24">
        <f>'Tax Table'!I123</f>
        <v>32110.770434178059</v>
      </c>
      <c r="O216" s="24">
        <f>'Tax Table'!I133</f>
        <v>32994.063542861622</v>
      </c>
      <c r="P216" s="24">
        <f>'Tax Table'!I143</f>
        <v>33895.022513718861</v>
      </c>
      <c r="Q216" s="24">
        <f>'Tax Table'!I153</f>
        <v>34814.00066399324</v>
      </c>
    </row>
    <row r="217" spans="1:17" x14ac:dyDescent="0.2">
      <c r="A217" s="26" t="s">
        <v>41</v>
      </c>
      <c r="B217" s="20"/>
      <c r="C217" s="24">
        <f>C202*'Data Property 2'!$B$214</f>
        <v>-3047.7606810176121</v>
      </c>
      <c r="D217" s="24">
        <f>D202*'Data Property 2'!$B$214</f>
        <v>-2821.9734249999983</v>
      </c>
      <c r="E217" s="24">
        <f>E202*'Data Property 2'!$B$214</f>
        <v>-2492.5584438250007</v>
      </c>
      <c r="F217" s="24">
        <f>F202*'Data Property 2'!$B$214</f>
        <v>-2205.0395816334276</v>
      </c>
      <c r="G217" s="24">
        <f>G202*'Data Property 2'!$B$214</f>
        <v>-1932.7998032851428</v>
      </c>
      <c r="H217" s="24">
        <f>H202*'Data Property 2'!$B$214</f>
        <v>-1521.5798294645847</v>
      </c>
      <c r="I217" s="24">
        <f>I202*'Data Property 2'!$B$214</f>
        <v>-1289.4265966628627</v>
      </c>
      <c r="J217" s="24">
        <f>J202*'Data Property 2'!$B$214</f>
        <v>-1062.5757161759866</v>
      </c>
      <c r="K217" s="24">
        <f>K202*'Data Property 2'!$B$214</f>
        <v>-821.73232332752923</v>
      </c>
      <c r="L217" s="24">
        <f>L202*'Data Property 2'!$B$214</f>
        <v>-611.44116307079639</v>
      </c>
      <c r="M217" s="24">
        <f>M202*'Data Property 2'!$B$214</f>
        <v>-382.7195755110879</v>
      </c>
      <c r="N217" s="24">
        <f>N202*'Data Property 2'!$B$214</f>
        <v>-149.90344315128641</v>
      </c>
      <c r="O217" s="24">
        <f>O202*'Data Property 2'!$B$214</f>
        <v>107.58323379553985</v>
      </c>
      <c r="P217" s="24">
        <f>P202*'Data Property 2'!$B$214</f>
        <v>331.87810552276642</v>
      </c>
      <c r="Q217" s="24">
        <f>Q202*'Data Property 2'!$B$214</f>
        <v>582.25306192894823</v>
      </c>
    </row>
    <row r="218" spans="1:17" x14ac:dyDescent="0.2">
      <c r="A218" s="38" t="s">
        <v>75</v>
      </c>
      <c r="B218"/>
      <c r="C218" s="24">
        <f>IF(C161&lt;'Input Property 2'!$B$33,C215+C217,IF(C161&gt;'Input Property 2'!$B$33,0,C215+C217+C237))</f>
        <v>92952.239318982392</v>
      </c>
      <c r="D218" s="24">
        <f>IF(C161&lt;'Input Property 2'!$B$33,IF(D161&lt;'Input Property 2'!$B$33,D215+D217,D215+D217+D237),D215)</f>
        <v>95098.026574999996</v>
      </c>
      <c r="E218" s="24">
        <f>IF(D161&lt;'Input Property 2'!$B$33,IF(E161&lt;'Input Property 2'!$B$33,E215+E217,E215+E217+E237),E215)</f>
        <v>97385.841556175001</v>
      </c>
      <c r="F218" s="24">
        <f>IF(E161&lt;'Input Property 2'!$B$33,IF(F161&lt;'Input Property 2'!$B$33,F215+F217,F215+F217+F237),F215)</f>
        <v>99670.928418366588</v>
      </c>
      <c r="G218" s="24">
        <f>IF(F161&lt;'Input Property 2'!$B$33,IF(G161&lt;'Input Property 2'!$B$33,G215+G217,G215+G217+G237),G215)</f>
        <v>101980.68755671487</v>
      </c>
      <c r="H218" s="24">
        <f>IF(G161&lt;'Input Property 2'!$B$33,IF(H161&lt;'Input Property 2'!$B$33,H215+H217,H215+H217+H237),H215)</f>
        <v>104470.17727773543</v>
      </c>
      <c r="I218" s="24">
        <f>IF(H161&lt;'Input Property 2'!$B$33,IF(I161&lt;'Input Property 2'!$B$33,I215+I217,I215+I217+I237),I215)</f>
        <v>106822.16565268116</v>
      </c>
      <c r="J218" s="24">
        <f>IF(I161&lt;'Input Property 2'!$B$33,IF(J161&lt;'Input Property 2'!$B$33,J215+J217,J215+J217+J237),J215)</f>
        <v>109211.24837815491</v>
      </c>
      <c r="K218" s="24">
        <f>IF(J161&lt;'Input Property 2'!$B$33,IF(K161&lt;'Input Property 2'!$B$33,K215+K217,K215+K217+K237),K215)</f>
        <v>111657.56825288999</v>
      </c>
      <c r="L218" s="24">
        <f>IF(K161&lt;'Input Property 2'!$B$33,IF(L161&lt;'Input Property 2'!$B$33,L215+L217,L215+L217+L237),L215)</f>
        <v>114117.44542467108</v>
      </c>
      <c r="M218" s="24">
        <f>IF(L161&lt;'Input Property 2'!$B$33,IF(M161&lt;'Input Property 2'!$B$33,M215+M217,M215+M217+M237),M215)</f>
        <v>116640.74474398562</v>
      </c>
      <c r="N218" s="24">
        <f>IF(M161&lt;'Input Property 2'!$B$33,IF(N161&lt;'Input Property 2'!$B$33,N215+N217,N215+N217+N237),N215)</f>
        <v>119214.03016273536</v>
      </c>
      <c r="O218" s="24">
        <f>IF(N161&lt;'Input Property 2'!$B$33,IF(O161&lt;'Input Property 2'!$B$33,O215+O217,O215+O217+O237),O215)</f>
        <v>121858.79551179992</v>
      </c>
      <c r="P218" s="24">
        <f>IF(O161&lt;'Input Property 2'!$B$33,IF(P161&lt;'Input Property 2'!$B$33,P215+P217,P215+P217+P237),P215)</f>
        <v>124518.11462908724</v>
      </c>
      <c r="Q218" s="24">
        <f>IF(P161&lt;'Input Property 2'!$B$33,IF(Q161&lt;'Input Property 2'!$B$33,Q215+Q217,Q215+Q217+Q237),Q215)</f>
        <v>127252.21431596472</v>
      </c>
    </row>
    <row r="219" spans="1:17" x14ac:dyDescent="0.2">
      <c r="A219" s="38" t="s">
        <v>77</v>
      </c>
      <c r="B219"/>
      <c r="C219" s="24">
        <f>'Tax Table'!J12</f>
        <v>22362.368616183954</v>
      </c>
      <c r="D219" s="63">
        <f>'Tax Table'!J23</f>
        <v>22940.879630721625</v>
      </c>
      <c r="E219" s="24">
        <f>'Tax Table'!J33</f>
        <v>23802.85379836518</v>
      </c>
      <c r="F219" s="24">
        <f>'Tax Table'!J43</f>
        <v>24666.425719862647</v>
      </c>
      <c r="G219" s="24">
        <f>'Tax Table'!J53</f>
        <v>25535.678384826402</v>
      </c>
      <c r="H219" s="24">
        <f>'Tax Table'!J63</f>
        <v>26484.464719501724</v>
      </c>
      <c r="I219" s="24">
        <f>'Tax Table'!J73</f>
        <v>27373.432354733424</v>
      </c>
      <c r="J219" s="24">
        <f>'Tax Table'!J83</f>
        <v>28280.184223290817</v>
      </c>
      <c r="K219" s="24">
        <f>'Tax Table'!J93</f>
        <v>29203.620216683372</v>
      </c>
      <c r="L219" s="24">
        <f>'Tax Table'!J103</f>
        <v>30149.296444014479</v>
      </c>
      <c r="M219" s="24">
        <f>'Tax Table'!J113</f>
        <v>31105.627288147585</v>
      </c>
      <c r="N219" s="24">
        <f>'Tax Table'!J123</f>
        <v>32086.186192392874</v>
      </c>
      <c r="O219" s="24">
        <f>'Tax Table'!J133</f>
        <v>33087.540347502225</v>
      </c>
      <c r="P219" s="24">
        <f>'Tax Table'!J143</f>
        <v>34116.253346884128</v>
      </c>
      <c r="Q219" s="24">
        <f>'Tax Table'!J153</f>
        <v>35155.426167135942</v>
      </c>
    </row>
    <row r="220" spans="1:17" x14ac:dyDescent="0.2">
      <c r="A220" s="26" t="s">
        <v>71</v>
      </c>
      <c r="B220" s="20"/>
      <c r="C220" s="24">
        <f t="shared" ref="C220:Q220" si="43">C216-C219</f>
        <v>1103.7463838160475</v>
      </c>
      <c r="D220" s="24">
        <f t="shared" si="43"/>
        <v>1235.6353692783741</v>
      </c>
      <c r="E220" s="24">
        <f t="shared" si="43"/>
        <v>1098.2692016348228</v>
      </c>
      <c r="F220" s="24">
        <f t="shared" si="43"/>
        <v>973.79744013735399</v>
      </c>
      <c r="G220" s="24">
        <f t="shared" si="43"/>
        <v>858.42693837360275</v>
      </c>
      <c r="H220" s="24">
        <f t="shared" si="43"/>
        <v>678.60041016228206</v>
      </c>
      <c r="I220" s="24">
        <f t="shared" si="43"/>
        <v>573.97177752386415</v>
      </c>
      <c r="J220" s="24">
        <f t="shared" si="43"/>
        <v>467.24569161161344</v>
      </c>
      <c r="K220" s="24">
        <f t="shared" si="43"/>
        <v>359.83599651710756</v>
      </c>
      <c r="L220" s="24">
        <f t="shared" si="43"/>
        <v>246.50659345001623</v>
      </c>
      <c r="M220" s="24">
        <f t="shared" si="43"/>
        <v>139.16951006619638</v>
      </c>
      <c r="N220" s="24">
        <f t="shared" si="43"/>
        <v>24.584241785185441</v>
      </c>
      <c r="O220" s="24">
        <f t="shared" si="43"/>
        <v>-93.476804640602495</v>
      </c>
      <c r="P220" s="24">
        <f t="shared" si="43"/>
        <v>-221.23083316526754</v>
      </c>
      <c r="Q220" s="24">
        <f t="shared" si="43"/>
        <v>-341.42550314270193</v>
      </c>
    </row>
    <row r="221" spans="1:17" x14ac:dyDescent="0.2">
      <c r="A221" s="26" t="s">
        <v>166</v>
      </c>
      <c r="B221" s="20"/>
      <c r="C221" s="24">
        <f>C220/(C162/7)</f>
        <v>128.77041144520555</v>
      </c>
      <c r="D221" s="24">
        <f>D220/'Input Property 2'!$B$64</f>
        <v>23.648523813940173</v>
      </c>
      <c r="E221" s="24">
        <f>E220/'Input Property 2'!$B$64</f>
        <v>21.019506251384168</v>
      </c>
      <c r="F221" s="24">
        <f>F220/'Input Property 2'!$B$64</f>
        <v>18.637271581576154</v>
      </c>
      <c r="G221" s="24">
        <f>G220/'Input Property 2'!$B$64</f>
        <v>16.429223700930198</v>
      </c>
      <c r="H221" s="24">
        <f>H220/'Input Property 2'!$B$64</f>
        <v>12.987567658608269</v>
      </c>
      <c r="I221" s="24">
        <f>I220/'Input Property 2'!$B$64</f>
        <v>10.985105789930415</v>
      </c>
      <c r="J221" s="24">
        <f>J220/'Input Property 2'!$B$64</f>
        <v>8.9425012748634156</v>
      </c>
      <c r="K221" s="24">
        <f>K220/'Input Property 2'!$B$64</f>
        <v>6.8868133304709582</v>
      </c>
      <c r="L221" s="24">
        <f>L220/'Input Property 2'!$B$64</f>
        <v>4.7178295397132288</v>
      </c>
      <c r="M221" s="24">
        <f>M220/'Input Property 2'!$B$64</f>
        <v>2.6635312931329449</v>
      </c>
      <c r="N221" s="24">
        <f>N220/'Input Property 2'!$B$64</f>
        <v>0.47051180450115676</v>
      </c>
      <c r="O221" s="24">
        <f>O220/'Input Property 2'!$B$64</f>
        <v>-1.7890297538871291</v>
      </c>
      <c r="P221" s="24">
        <f>P220/'Input Property 2'!$B$64</f>
        <v>-4.2340829313926802</v>
      </c>
      <c r="Q221" s="24">
        <f>Q220/'Input Property 2'!$B$64</f>
        <v>-6.5344593902909462</v>
      </c>
    </row>
    <row r="222" spans="1:17" x14ac:dyDescent="0.2">
      <c r="A222" s="37"/>
      <c r="B222" s="20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</row>
    <row r="223" spans="1:17" x14ac:dyDescent="0.2">
      <c r="A223" s="9" t="s">
        <v>16</v>
      </c>
      <c r="B223" s="15"/>
      <c r="C223" s="39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</row>
    <row r="224" spans="1:17" x14ac:dyDescent="0.2">
      <c r="A224" s="19" t="s">
        <v>37</v>
      </c>
      <c r="B224" s="24"/>
      <c r="C224" s="24">
        <f>C189+C211+C220</f>
        <v>1348.9714055968661</v>
      </c>
      <c r="D224" s="24">
        <f>IF('Input Property 2'!$B$33&gt;C161,IF(D161&gt;'Input Property 2'!$B$33,D189+D211+D220+D234,D189+D211+D220),0)</f>
        <v>1614.3238885567589</v>
      </c>
      <c r="E224" s="24">
        <f>IF('Input Property 2'!$B$33&gt;D161,IF(E161&gt;'Input Property 2'!$B$33,E189+E211+E220+E234,E189+E211+E220),0)</f>
        <v>1683.4215156196442</v>
      </c>
      <c r="F224" s="24">
        <f>IF('Input Property 2'!$B$33&gt;E161,IF(F161&gt;'Input Property 2'!$B$33,F189+F211+F220+F234,F189+F211+F220),0)</f>
        <v>1789.0157170078564</v>
      </c>
      <c r="G224" s="24">
        <f>IF('Input Property 2'!$B$33&gt;F161,IF(G161&gt;'Input Property 2'!$B$33,G189+G211+G220+G234,G189+G211+G220),0)</f>
        <v>1948.4042701769176</v>
      </c>
      <c r="H224" s="24">
        <f>IF('Input Property 2'!$B$33&gt;G161,IF(H161&gt;'Input Property 2'!$B$33,H189+H211+H220+H234,H189+H211+H220),0)</f>
        <v>1941.1461613954016</v>
      </c>
      <c r="I224" s="24">
        <f>IF('Input Property 2'!$B$33&gt;H161,IF(I161&gt;'Input Property 2'!$B$33,I189+I211+I220+I234,I189+I211+I220),0)</f>
        <v>2120.5638617220065</v>
      </c>
      <c r="J224" s="24">
        <f>IF('Input Property 2'!$B$33&gt;I161,IF(J161&gt;'Input Property 2'!$B$33,J189+J211+J220+J234,J189+J211+J220),0)</f>
        <v>2307.871400871245</v>
      </c>
      <c r="K224" s="24">
        <f>IF('Input Property 2'!$B$33&gt;J161,IF(K161&gt;'Input Property 2'!$B$33,K189+K211+K220+K234,K189+K211+K220),0)</f>
        <v>2537.6793613791597</v>
      </c>
      <c r="L224" s="24">
        <f>IF('Input Property 2'!$B$33&gt;K161,IF(L161&gt;'Input Property 2'!$B$33,L189+L211+L220+L234,L189+L211+L220),0)</f>
        <v>2705.6612712584392</v>
      </c>
      <c r="M224" s="24">
        <f>IF('Input Property 2'!$B$33&gt;L161,IF(M161&gt;'Input Property 2'!$B$33,M189+M211+M220+M234,M189+M211+M220),0)</f>
        <v>2930.271156460225</v>
      </c>
      <c r="N224" s="24">
        <f>IF('Input Property 2'!$B$33&gt;M161,IF(N161&gt;'Input Property 2'!$B$33,N189+N211+N220+N234,N189+N211+N220),0)</f>
        <v>3154.0214984128033</v>
      </c>
      <c r="O224" s="24">
        <f>IF('Input Property 2'!$B$33&gt;N161,IF(O161&gt;'Input Property 2'!$B$33,O189+O211+O220+O234,O189+O211+O220),0)</f>
        <v>3423.974789111373</v>
      </c>
      <c r="P224" s="24">
        <f>IF('Input Property 2'!$B$33&gt;O161,IF(P161&gt;'Input Property 2'!$B$33,P189+P211+P220+P234,P189+P211+P220),0)</f>
        <v>3610.827896276056</v>
      </c>
      <c r="Q224" s="24">
        <f>IF('Input Property 2'!$B$33&gt;P161,IF(Q161&gt;'Input Property 2'!$B$33,Q189+Q211+Q220+Q234,Q189+Q211+Q220),0)</f>
        <v>3866.8284636652279</v>
      </c>
    </row>
    <row r="225" spans="1:17" x14ac:dyDescent="0.2">
      <c r="A225" s="19" t="s">
        <v>172</v>
      </c>
      <c r="B225" s="20"/>
      <c r="C225" s="63">
        <f>C224/(C162/7)</f>
        <v>157.37999731963438</v>
      </c>
      <c r="D225" s="63">
        <f>D224/'Input Property 2'!$B$64</f>
        <v>30.896150977162851</v>
      </c>
      <c r="E225" s="63">
        <f>E224/'Input Property 2'!$B$64</f>
        <v>32.218593600375968</v>
      </c>
      <c r="F225" s="63">
        <f>F224/'Input Property 2'!$B$64</f>
        <v>34.239535253738879</v>
      </c>
      <c r="G225" s="63">
        <f>G224/'Input Property 2'!$B$64</f>
        <v>37.290033878984069</v>
      </c>
      <c r="H225" s="63">
        <f>H224/'Input Property 2'!$B$64</f>
        <v>37.151122706132085</v>
      </c>
      <c r="I225" s="63">
        <f>I224/'Input Property 2'!$B$64</f>
        <v>40.58495429133027</v>
      </c>
      <c r="J225" s="63">
        <f>J224/'Input Property 2'!$B$64</f>
        <v>44.169787576483159</v>
      </c>
      <c r="K225" s="63">
        <f>K224/'Input Property 2'!$B$64</f>
        <v>48.568026055103537</v>
      </c>
      <c r="L225" s="63">
        <f>L224/'Input Property 2'!$B$64</f>
        <v>51.782990837482089</v>
      </c>
      <c r="M225" s="63">
        <f>M224/'Input Property 2'!$B$64</f>
        <v>56.081744621248326</v>
      </c>
      <c r="N225" s="63">
        <f>N224/'Input Property 2'!$B$64</f>
        <v>60.364047816512979</v>
      </c>
      <c r="O225" s="63">
        <f>O224/'Input Property 2'!$B$64</f>
        <v>65.530617973423404</v>
      </c>
      <c r="P225" s="63">
        <f>P224/'Input Property 2'!$B$64</f>
        <v>69.106753995713987</v>
      </c>
      <c r="Q225" s="63">
        <f>Q224/'Input Property 2'!$B$64</f>
        <v>74.006286385937372</v>
      </c>
    </row>
    <row r="226" spans="1:17" x14ac:dyDescent="0.2">
      <c r="A226" s="9" t="s">
        <v>72</v>
      </c>
      <c r="B226"/>
      <c r="C226" s="1"/>
      <c r="D226" s="4">
        <v>2</v>
      </c>
      <c r="E226" s="2"/>
      <c r="F226"/>
      <c r="G226"/>
      <c r="H226"/>
      <c r="I226"/>
      <c r="J226"/>
      <c r="K226"/>
      <c r="L226"/>
      <c r="M226"/>
      <c r="N226"/>
      <c r="O226"/>
      <c r="P226"/>
      <c r="Q226"/>
    </row>
    <row r="227" spans="1:17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</row>
    <row r="228" spans="1:17" x14ac:dyDescent="0.2">
      <c r="A228" t="s">
        <v>226</v>
      </c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</row>
    <row r="229" spans="1:17" x14ac:dyDescent="0.2">
      <c r="A229" t="s">
        <v>227</v>
      </c>
      <c r="B229"/>
      <c r="C229" s="194">
        <f>'Data Property 2'!C102-'Data Property 2'!C103</f>
        <v>104938.35616438359</v>
      </c>
      <c r="D229" s="194">
        <f>'Data Property 2'!D102-'Data Property 2'!D103</f>
        <v>132204.65753424662</v>
      </c>
      <c r="E229" s="194">
        <f>'Data Property 2'!E102-'Data Property 2'!E103</f>
        <v>161106.93698630144</v>
      </c>
      <c r="F229" s="194">
        <f>'Data Property 2'!F102-'Data Property 2'!F103</f>
        <v>191743.35320547957</v>
      </c>
      <c r="G229" s="194">
        <f>'Data Property 2'!G102-'Data Property 2'!G103</f>
        <v>224217.95439780829</v>
      </c>
      <c r="H229" s="194">
        <f>'Data Property 2'!H102-'Data Property 2'!H103</f>
        <v>258641.03166167683</v>
      </c>
      <c r="I229" s="194">
        <f>'Data Property 2'!I102-'Data Property 2'!I103</f>
        <v>295129.4935613774</v>
      </c>
      <c r="J229" s="194">
        <f>'Data Property 2'!J102-'Data Property 2'!J103</f>
        <v>333807.26317506004</v>
      </c>
      <c r="K229" s="194">
        <f>'Data Property 2'!K102-'Data Property 2'!K103</f>
        <v>374805.69896556367</v>
      </c>
      <c r="L229" s="194">
        <f>'Data Property 2'!L102-'Data Property 2'!L103</f>
        <v>418264.04090349749</v>
      </c>
      <c r="M229" s="194">
        <f>'Data Property 2'!M102-'Data Property 2'!M103</f>
        <v>464329.88335770729</v>
      </c>
      <c r="N229" s="194">
        <f>'Data Property 2'!N102-'Data Property 2'!N103</f>
        <v>513159.67635916977</v>
      </c>
      <c r="O229" s="194">
        <f>'Data Property 2'!O102-'Data Property 2'!O103</f>
        <v>564919.2569407199</v>
      </c>
      <c r="P229" s="194">
        <f>'Data Property 2'!P102-'Data Property 2'!P103</f>
        <v>619784.41235716315</v>
      </c>
      <c r="Q229" s="194">
        <f>'Data Property 2'!Q102-'Data Property 2'!Q103</f>
        <v>677941.47709859291</v>
      </c>
    </row>
    <row r="230" spans="1:17" x14ac:dyDescent="0.2">
      <c r="A230" t="s">
        <v>228</v>
      </c>
      <c r="B230"/>
      <c r="C230" s="195">
        <f>'Input Property 2'!$F$13</f>
        <v>9100</v>
      </c>
      <c r="D230" s="195">
        <f>'Input Property 2'!$F$13</f>
        <v>9100</v>
      </c>
      <c r="E230" s="195">
        <f>'Input Property 2'!$F$13</f>
        <v>9100</v>
      </c>
      <c r="F230" s="195">
        <f>'Input Property 2'!$F$13</f>
        <v>9100</v>
      </c>
      <c r="G230" s="195">
        <f>'Input Property 2'!$F$13</f>
        <v>9100</v>
      </c>
      <c r="H230" s="195">
        <f>'Input Property 2'!$F$13</f>
        <v>9100</v>
      </c>
      <c r="I230" s="195">
        <f>'Input Property 2'!$F$13</f>
        <v>9100</v>
      </c>
      <c r="J230" s="195">
        <f>'Input Property 2'!$F$13</f>
        <v>9100</v>
      </c>
      <c r="K230" s="195">
        <f>'Input Property 2'!$F$13</f>
        <v>9100</v>
      </c>
      <c r="L230" s="195">
        <f>'Input Property 2'!$F$13</f>
        <v>9100</v>
      </c>
      <c r="M230" s="195">
        <f>'Input Property 2'!$F$13</f>
        <v>9100</v>
      </c>
      <c r="N230" s="195">
        <f>'Input Property 2'!$F$13</f>
        <v>9100</v>
      </c>
      <c r="O230" s="195">
        <f>'Input Property 2'!$F$13</f>
        <v>9100</v>
      </c>
      <c r="P230" s="195">
        <f>'Input Property 2'!$F$13</f>
        <v>9100</v>
      </c>
      <c r="Q230" s="195">
        <f>'Input Property 2'!$F$13</f>
        <v>9100</v>
      </c>
    </row>
    <row r="231" spans="1:17" x14ac:dyDescent="0.2">
      <c r="A231" t="s">
        <v>229</v>
      </c>
      <c r="B231"/>
      <c r="C231" s="195">
        <f>'Data Property 2'!C102*'Input Property 2'!B59</f>
        <v>13633.150684931506</v>
      </c>
      <c r="D231" s="195">
        <f>'Data Property 2'!D102*'Input Property 2'!C59</f>
        <v>14812.418219178082</v>
      </c>
      <c r="E231" s="195">
        <f>'Data Property 2'!E102*'Input Property 2'!D59</f>
        <v>16093.692395136984</v>
      </c>
      <c r="F231" s="195">
        <f>'Data Property 2'!F102*'Input Property 2'!E59</f>
        <v>17485.796787316332</v>
      </c>
      <c r="G231" s="195">
        <f>'Data Property 2'!G102*'Input Property 2'!F59</f>
        <v>18998.318209419194</v>
      </c>
      <c r="H231" s="195">
        <f>'Data Property 2'!H102*'Input Property 2'!G59</f>
        <v>20641.672734533953</v>
      </c>
      <c r="I231" s="195">
        <f>'Data Property 2'!I102*'Input Property 2'!H59</f>
        <v>22427.177426071139</v>
      </c>
      <c r="J231" s="195">
        <f>'Data Property 2'!J102*'Input Property 2'!I59</f>
        <v>24367.128273426293</v>
      </c>
      <c r="K231" s="195">
        <f>'Data Property 2'!K102*'Input Property 2'!J59</f>
        <v>26474.884869077665</v>
      </c>
      <c r="L231" s="195">
        <f>'Data Property 2'!L102*'Input Property 2'!K59</f>
        <v>28764.96241025288</v>
      </c>
      <c r="M231" s="195">
        <f>'Data Property 2'!M102*'Input Property 2'!L59</f>
        <v>31253.131658739749</v>
      </c>
      <c r="N231" s="195">
        <f>'Data Property 2'!N102*'Input Property 2'!M59</f>
        <v>33956.527547220736</v>
      </c>
      <c r="O231" s="195">
        <f>'Data Property 2'!O102*'Input Property 2'!N59</f>
        <v>36893.767180055322</v>
      </c>
      <c r="P231" s="195">
        <f>'Data Property 2'!P102*'Input Property 2'!O59</f>
        <v>40085.078041130102</v>
      </c>
      <c r="Q231" s="195">
        <f>'Data Property 2'!Q102*'Input Property 2'!P59</f>
        <v>43552.437291687849</v>
      </c>
    </row>
    <row r="232" spans="1:17" x14ac:dyDescent="0.2">
      <c r="A232" t="s">
        <v>237</v>
      </c>
      <c r="B232"/>
      <c r="C232" s="195">
        <f>'Input Property 2'!B60</f>
        <v>3000</v>
      </c>
      <c r="D232" s="195">
        <f>'Input Property 2'!C60</f>
        <v>3074.9999999999995</v>
      </c>
      <c r="E232" s="195">
        <f>'Input Property 2'!D60</f>
        <v>3151.8749999999991</v>
      </c>
      <c r="F232" s="195">
        <f>'Input Property 2'!E60</f>
        <v>3230.6718749999986</v>
      </c>
      <c r="G232" s="195">
        <f>'Input Property 2'!F60</f>
        <v>3311.4386718749984</v>
      </c>
      <c r="H232" s="195">
        <f>'Input Property 2'!G60</f>
        <v>3394.224638671873</v>
      </c>
      <c r="I232" s="195">
        <f>'Input Property 2'!H60</f>
        <v>3479.0802546386694</v>
      </c>
      <c r="J232" s="195">
        <f>'Input Property 2'!I60</f>
        <v>3566.0572610046361</v>
      </c>
      <c r="K232" s="195">
        <f>'Input Property 2'!J60</f>
        <v>3655.2086925297517</v>
      </c>
      <c r="L232" s="195">
        <f>'Input Property 2'!K60</f>
        <v>3746.5889098429952</v>
      </c>
      <c r="M232" s="195">
        <f>'Input Property 2'!L60</f>
        <v>3840.2536325890696</v>
      </c>
      <c r="N232" s="195">
        <f>'Input Property 2'!M60</f>
        <v>3936.2599734037958</v>
      </c>
      <c r="O232" s="195">
        <f>'Input Property 2'!N60</f>
        <v>4034.6664727388902</v>
      </c>
      <c r="P232" s="195">
        <f>'Input Property 2'!O60</f>
        <v>4135.5331345573622</v>
      </c>
      <c r="Q232" s="195">
        <f>'Input Property 2'!P60</f>
        <v>4238.9214629212956</v>
      </c>
    </row>
    <row r="233" spans="1:17" x14ac:dyDescent="0.2">
      <c r="A233" t="s">
        <v>240</v>
      </c>
      <c r="B233"/>
      <c r="C233" s="195">
        <f>C197</f>
        <v>3375</v>
      </c>
      <c r="D233" s="195">
        <f>SUM($C197:D$197)</f>
        <v>6750</v>
      </c>
      <c r="E233" s="195">
        <f>SUM($C197:E$197)</f>
        <v>10125</v>
      </c>
      <c r="F233" s="195">
        <f>SUM($C197:F$197)</f>
        <v>13500</v>
      </c>
      <c r="G233" s="195">
        <f>SUM($C197:G$197)</f>
        <v>16875</v>
      </c>
      <c r="H233" s="195">
        <f>SUM($C197:H$197)</f>
        <v>20250</v>
      </c>
      <c r="I233" s="195">
        <f>SUM($C197:I$197)</f>
        <v>23625</v>
      </c>
      <c r="J233" s="195">
        <f>SUM($C197:J$197)</f>
        <v>27000</v>
      </c>
      <c r="K233" s="195">
        <f>SUM($C197:K$197)</f>
        <v>30375</v>
      </c>
      <c r="L233" s="195">
        <f>SUM($C197:L$197)</f>
        <v>33750</v>
      </c>
      <c r="M233" s="195">
        <f>SUM($C197:M$197)</f>
        <v>37125</v>
      </c>
      <c r="N233" s="195">
        <f>SUM($C197:N$197)</f>
        <v>40500</v>
      </c>
      <c r="O233" s="195">
        <f>SUM($C197:O$197)</f>
        <v>43875</v>
      </c>
      <c r="P233" s="195">
        <f>SUM($C197:P$197)</f>
        <v>47250</v>
      </c>
      <c r="Q233" s="195">
        <f>SUM($C197:Q$197)</f>
        <v>50625</v>
      </c>
    </row>
    <row r="234" spans="1:17" x14ac:dyDescent="0.2">
      <c r="A234" t="s">
        <v>234</v>
      </c>
      <c r="B234"/>
      <c r="C234" s="195">
        <f t="shared" ref="C234:Q234" si="44">C229-C230-C231-C232+C233</f>
        <v>82580.205479452081</v>
      </c>
      <c r="D234" s="195">
        <f t="shared" si="44"/>
        <v>111967.23931506854</v>
      </c>
      <c r="E234" s="195">
        <f t="shared" si="44"/>
        <v>142886.36959116446</v>
      </c>
      <c r="F234" s="195">
        <f t="shared" si="44"/>
        <v>175426.88454316324</v>
      </c>
      <c r="G234" s="195">
        <f t="shared" si="44"/>
        <v>209683.1975165141</v>
      </c>
      <c r="H234" s="195">
        <f t="shared" si="44"/>
        <v>245755.13428847099</v>
      </c>
      <c r="I234" s="195">
        <f t="shared" si="44"/>
        <v>283748.23588066758</v>
      </c>
      <c r="J234" s="195">
        <f t="shared" si="44"/>
        <v>323774.07764062908</v>
      </c>
      <c r="K234" s="195">
        <f t="shared" si="44"/>
        <v>365950.60540395626</v>
      </c>
      <c r="L234" s="195">
        <f t="shared" si="44"/>
        <v>410402.48958340159</v>
      </c>
      <c r="M234" s="195">
        <f t="shared" si="44"/>
        <v>457261.49806637847</v>
      </c>
      <c r="N234" s="195">
        <f t="shared" si="44"/>
        <v>506666.88883854519</v>
      </c>
      <c r="O234" s="195">
        <f t="shared" si="44"/>
        <v>558765.82328792568</v>
      </c>
      <c r="P234" s="195">
        <f t="shared" si="44"/>
        <v>613713.80118147575</v>
      </c>
      <c r="Q234" s="195">
        <f t="shared" si="44"/>
        <v>671675.11834398378</v>
      </c>
    </row>
    <row r="235" spans="1:17" x14ac:dyDescent="0.2">
      <c r="A235" t="s">
        <v>231</v>
      </c>
      <c r="B235"/>
      <c r="C235" s="195">
        <f>IF(C234&lt;0,C234,IF('Input Property 2'!$B$33&gt;('Input Property 2'!$B$21+365),C234*0.5))</f>
        <v>41290.10273972604</v>
      </c>
      <c r="D235" s="195">
        <f>IF(D234&lt;0,D234,IF('Input Property 2'!$B$33&gt;('Input Property 2'!$B$21+365),D234*0.5))</f>
        <v>55983.619657534269</v>
      </c>
      <c r="E235" s="195">
        <f>IF(E234&lt;0,E234,IF('Input Property 2'!$B$33&gt;('Input Property 2'!$B$21+365),E234*0.5))</f>
        <v>71443.18479558223</v>
      </c>
      <c r="F235" s="195">
        <f>IF(F234&lt;0,F234,IF('Input Property 2'!$B$33&gt;('Input Property 2'!$B$21+365),F234*0.5))</f>
        <v>87713.442271581618</v>
      </c>
      <c r="G235" s="195">
        <f>IF(G234&lt;0,G234,IF('Input Property 2'!$B$33&gt;('Input Property 2'!$B$21+365),G234*0.5))</f>
        <v>104841.59875825705</v>
      </c>
      <c r="H235" s="195">
        <f>IF(H234&lt;0,H234,IF('Input Property 2'!$B$33&gt;('Input Property 2'!$B$21+365),H234*0.5))</f>
        <v>122877.56714423549</v>
      </c>
      <c r="I235" s="195">
        <f>IF(I234&lt;0,I234,IF('Input Property 2'!$B$33&gt;('Input Property 2'!$B$21+365),I234*0.5))</f>
        <v>141874.11794033379</v>
      </c>
      <c r="J235" s="195">
        <f>IF(J234&lt;0,J234,IF('Input Property 2'!$B$33&gt;('Input Property 2'!$B$21+365),J234*0.5))</f>
        <v>161887.03882031454</v>
      </c>
      <c r="K235" s="195">
        <f>IF(K234&lt;0,K234,IF('Input Property 2'!$B$33&gt;('Input Property 2'!$B$21+365),K234*0.5))</f>
        <v>182975.30270197813</v>
      </c>
      <c r="L235" s="195">
        <f>IF(L234&lt;0,L234,IF('Input Property 2'!$B$33&gt;('Input Property 2'!$B$21+365),L234*0.5))</f>
        <v>205201.2447917008</v>
      </c>
      <c r="M235" s="195">
        <f>IF(M234&lt;0,M234,IF('Input Property 2'!$B$33&gt;('Input Property 2'!$B$21+365),M234*0.5))</f>
        <v>228630.74903318923</v>
      </c>
      <c r="N235" s="195">
        <f>IF(N234&lt;0,N234,IF('Input Property 2'!$B$33&gt;('Input Property 2'!$B$21+365),N234*0.5))</f>
        <v>253333.44441927259</v>
      </c>
      <c r="O235" s="195">
        <f>IF(O234&lt;0,O234,IF('Input Property 2'!$B$33&gt;('Input Property 2'!$B$21+365),O234*0.5))</f>
        <v>279382.91164396284</v>
      </c>
      <c r="P235" s="195">
        <f>IF(P234&lt;0,P234,IF('Input Property 2'!$B$33&gt;('Input Property 2'!$B$21+365),P234*0.5))</f>
        <v>306856.90059073787</v>
      </c>
      <c r="Q235" s="195">
        <f>IF(Q234&lt;0,Q234,IF('Input Property 2'!$B$33&gt;('Input Property 2'!$B$21+365),Q234*0.5))</f>
        <v>335837.55917199189</v>
      </c>
    </row>
    <row r="236" spans="1:17" x14ac:dyDescent="0.2">
      <c r="A236" t="s">
        <v>232</v>
      </c>
      <c r="B236"/>
      <c r="C236" s="195">
        <f>C235*'Input Property 2'!$B$26</f>
        <v>20645.05136986302</v>
      </c>
      <c r="D236" s="195">
        <f>D235*'Input Property 2'!$B$26</f>
        <v>27991.809828767135</v>
      </c>
      <c r="E236" s="195">
        <f>E235*'Input Property 2'!$B$26</f>
        <v>35721.592397791115</v>
      </c>
      <c r="F236" s="195">
        <f>F235*'Input Property 2'!$B$26</f>
        <v>43856.721135790809</v>
      </c>
      <c r="G236" s="195">
        <f>G235*'Input Property 2'!$B$26</f>
        <v>52420.799379128526</v>
      </c>
      <c r="H236" s="195">
        <f>H235*'Input Property 2'!$B$26</f>
        <v>61438.783572117747</v>
      </c>
      <c r="I236" s="195">
        <f>I235*'Input Property 2'!$B$26</f>
        <v>70937.058970166894</v>
      </c>
      <c r="J236" s="195">
        <f>J235*'Input Property 2'!$B$26</f>
        <v>80943.519410157271</v>
      </c>
      <c r="K236" s="195">
        <f>K235*'Input Property 2'!$B$26</f>
        <v>91487.651350989065</v>
      </c>
      <c r="L236" s="195">
        <f>L235*'Input Property 2'!$B$26</f>
        <v>102600.6223958504</v>
      </c>
      <c r="M236" s="195">
        <f>M235*'Input Property 2'!$B$26</f>
        <v>114315.37451659462</v>
      </c>
      <c r="N236" s="195">
        <f>N235*'Input Property 2'!$B$26</f>
        <v>126666.7222096363</v>
      </c>
      <c r="O236" s="195">
        <f>O235*'Input Property 2'!$B$26</f>
        <v>139691.45582198142</v>
      </c>
      <c r="P236" s="195">
        <f>P235*'Input Property 2'!$B$26</f>
        <v>153428.45029536894</v>
      </c>
      <c r="Q236" s="195">
        <f>Q235*'Input Property 2'!$B$26</f>
        <v>167918.77958599594</v>
      </c>
    </row>
    <row r="237" spans="1:17" x14ac:dyDescent="0.2">
      <c r="A237" t="s">
        <v>233</v>
      </c>
      <c r="B237"/>
      <c r="C237" s="195">
        <f>C235*'Input Property 2'!$B$27</f>
        <v>20645.05136986302</v>
      </c>
      <c r="D237" s="195">
        <f>D235*'Input Property 2'!$B$27</f>
        <v>27991.809828767135</v>
      </c>
      <c r="E237" s="195">
        <f>E235*'Input Property 2'!$B$27</f>
        <v>35721.592397791115</v>
      </c>
      <c r="F237" s="195">
        <f>F235*'Input Property 2'!$B$27</f>
        <v>43856.721135790809</v>
      </c>
      <c r="G237" s="195">
        <f>G235*'Input Property 2'!$B$27</f>
        <v>52420.799379128526</v>
      </c>
      <c r="H237" s="195">
        <f>H235*'Input Property 2'!$B$27</f>
        <v>61438.783572117747</v>
      </c>
      <c r="I237" s="195">
        <f>I235*'Input Property 2'!$B$27</f>
        <v>70937.058970166894</v>
      </c>
      <c r="J237" s="195">
        <f>J235*'Input Property 2'!$B$27</f>
        <v>80943.519410157271</v>
      </c>
      <c r="K237" s="195">
        <f>K235*'Input Property 2'!$B$27</f>
        <v>91487.651350989065</v>
      </c>
      <c r="L237" s="195">
        <f>L235*'Input Property 2'!$B$27</f>
        <v>102600.6223958504</v>
      </c>
      <c r="M237" s="195">
        <f>M235*'Input Property 2'!$B$27</f>
        <v>114315.37451659462</v>
      </c>
      <c r="N237" s="195">
        <f>N235*'Input Property 2'!$B$27</f>
        <v>126666.7222096363</v>
      </c>
      <c r="O237" s="195">
        <f>O235*'Input Property 2'!$B$27</f>
        <v>139691.45582198142</v>
      </c>
      <c r="P237" s="195">
        <f>P235*'Input Property 2'!$B$27</f>
        <v>153428.45029536894</v>
      </c>
      <c r="Q237" s="195">
        <f>Q235*'Input Property 2'!$B$27</f>
        <v>167918.77958599594</v>
      </c>
    </row>
  </sheetData>
  <pageMargins left="0.47" right="0.5" top="1" bottom="1" header="0.5" footer="0.5"/>
  <pageSetup paperSize="9" orientation="landscape" horizontalDpi="300" verticalDpi="300" r:id="rId1"/>
  <headerFooter alignWithMargins="0">
    <oddHeader>&amp;C&amp;F &amp;A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67"/>
  <sheetViews>
    <sheetView topLeftCell="A22" zoomScale="90" zoomScaleNormal="90" workbookViewId="0">
      <selection activeCell="N18" sqref="N18"/>
    </sheetView>
  </sheetViews>
  <sheetFormatPr defaultColWidth="9.140625" defaultRowHeight="12.75" x14ac:dyDescent="0.2"/>
  <cols>
    <col min="1" max="1" width="28.140625" style="46" customWidth="1"/>
    <col min="2" max="2" width="12.42578125" style="46" bestFit="1" customWidth="1"/>
    <col min="3" max="6" width="10.42578125" style="46" customWidth="1"/>
    <col min="7" max="7" width="11.5703125" style="46" customWidth="1"/>
    <col min="8" max="16" width="10.42578125" style="46" customWidth="1"/>
    <col min="17" max="17" width="10.42578125" style="46" hidden="1" customWidth="1"/>
    <col min="18" max="22" width="0" style="46" hidden="1" customWidth="1"/>
    <col min="23" max="16384" width="9.140625" style="46"/>
  </cols>
  <sheetData>
    <row r="1" spans="1:25" x14ac:dyDescent="0.2">
      <c r="A1" s="72" t="s">
        <v>145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25" x14ac:dyDescent="0.2">
      <c r="A2" s="155" t="s">
        <v>8</v>
      </c>
      <c r="B2" s="254" t="s">
        <v>5</v>
      </c>
      <c r="C2" s="156"/>
      <c r="D2" s="156"/>
      <c r="E2" s="157" t="s">
        <v>38</v>
      </c>
      <c r="F2" s="158"/>
      <c r="G2" s="156"/>
      <c r="H2" s="156"/>
      <c r="I2" s="156"/>
      <c r="J2" s="157" t="s">
        <v>43</v>
      </c>
      <c r="K2" s="159"/>
      <c r="L2" s="71"/>
    </row>
    <row r="3" spans="1:25" x14ac:dyDescent="0.2">
      <c r="A3" s="160" t="s">
        <v>117</v>
      </c>
      <c r="B3" s="137">
        <v>350000</v>
      </c>
      <c r="E3" s="138" t="s">
        <v>60</v>
      </c>
      <c r="F3" s="51">
        <f>Duties!B1</f>
        <v>19660</v>
      </c>
      <c r="J3" s="138" t="s">
        <v>9</v>
      </c>
      <c r="K3" s="161">
        <f>Duties!B10</f>
        <v>1410</v>
      </c>
      <c r="L3" s="71"/>
      <c r="W3" s="46" t="s">
        <v>172</v>
      </c>
      <c r="Y3" s="46" t="s">
        <v>1</v>
      </c>
    </row>
    <row r="4" spans="1:25" x14ac:dyDescent="0.2">
      <c r="A4" s="160" t="s">
        <v>11</v>
      </c>
      <c r="B4" s="137">
        <v>60000</v>
      </c>
      <c r="E4" s="138" t="s">
        <v>68</v>
      </c>
      <c r="F4" s="139"/>
      <c r="J4" s="140" t="s">
        <v>85</v>
      </c>
      <c r="K4" s="161">
        <v>0</v>
      </c>
      <c r="L4" s="71"/>
      <c r="M4" s="141"/>
      <c r="W4" s="46" t="s">
        <v>215</v>
      </c>
      <c r="Y4" s="46" t="s">
        <v>0</v>
      </c>
    </row>
    <row r="5" spans="1:25" x14ac:dyDescent="0.2">
      <c r="A5" s="160" t="s">
        <v>86</v>
      </c>
      <c r="B5" s="142">
        <f>'Input Property 3'!B3+F13+K13</f>
        <v>372570</v>
      </c>
      <c r="C5" s="142"/>
      <c r="E5" s="138" t="s">
        <v>61</v>
      </c>
      <c r="F5" s="139">
        <v>800</v>
      </c>
      <c r="J5" s="140" t="s">
        <v>221</v>
      </c>
      <c r="K5" s="162">
        <f>K4*0.11</f>
        <v>0</v>
      </c>
      <c r="L5" s="71"/>
      <c r="M5" s="141"/>
      <c r="W5" s="46" t="s">
        <v>216</v>
      </c>
      <c r="Y5" s="46" t="s">
        <v>5</v>
      </c>
    </row>
    <row r="6" spans="1:25" x14ac:dyDescent="0.2">
      <c r="A6" s="160" t="s">
        <v>17</v>
      </c>
      <c r="B6" s="137">
        <v>370</v>
      </c>
      <c r="E6" s="138" t="s">
        <v>62</v>
      </c>
      <c r="F6" s="139"/>
      <c r="G6" s="51"/>
      <c r="J6" s="138" t="s">
        <v>87</v>
      </c>
      <c r="K6" s="163"/>
      <c r="L6" s="71"/>
      <c r="M6" s="141"/>
      <c r="W6" s="46" t="s">
        <v>217</v>
      </c>
      <c r="Y6" s="46" t="s">
        <v>7</v>
      </c>
    </row>
    <row r="7" spans="1:25" x14ac:dyDescent="0.2">
      <c r="A7" s="160" t="s">
        <v>149</v>
      </c>
      <c r="B7" s="143">
        <v>50</v>
      </c>
      <c r="E7" s="138" t="s">
        <v>63</v>
      </c>
      <c r="F7" s="139"/>
      <c r="G7" s="51"/>
      <c r="J7" s="138" t="s">
        <v>222</v>
      </c>
      <c r="K7" s="162">
        <f>K6*0.11</f>
        <v>0</v>
      </c>
      <c r="L7" s="71"/>
      <c r="M7" s="141"/>
      <c r="W7" s="46" t="s">
        <v>37</v>
      </c>
      <c r="Y7" s="46" t="s">
        <v>4</v>
      </c>
    </row>
    <row r="8" spans="1:25" x14ac:dyDescent="0.2">
      <c r="A8" s="212" t="s">
        <v>84</v>
      </c>
      <c r="B8" s="147">
        <f>(B3-B4)/B3</f>
        <v>0.82857142857142863</v>
      </c>
      <c r="C8" s="249" t="str">
        <f>IF(B8&gt;0.8,"LMI?","")</f>
        <v>LMI?</v>
      </c>
      <c r="E8" s="138" t="s">
        <v>64</v>
      </c>
      <c r="F8" s="139">
        <v>300</v>
      </c>
      <c r="G8" s="51"/>
      <c r="J8" s="140" t="s">
        <v>73</v>
      </c>
      <c r="K8" s="161">
        <v>0</v>
      </c>
      <c r="L8" s="71"/>
      <c r="M8" s="141"/>
      <c r="Y8" s="46" t="s">
        <v>6</v>
      </c>
    </row>
    <row r="9" spans="1:25" x14ac:dyDescent="0.2">
      <c r="A9" s="85"/>
      <c r="J9" s="140" t="s">
        <v>65</v>
      </c>
      <c r="K9" s="161"/>
      <c r="L9" s="71"/>
      <c r="M9" s="141"/>
      <c r="Y9" s="46" t="s">
        <v>3</v>
      </c>
    </row>
    <row r="10" spans="1:25" x14ac:dyDescent="0.2">
      <c r="A10" s="85"/>
      <c r="G10" s="51"/>
      <c r="J10" s="138" t="s">
        <v>67</v>
      </c>
      <c r="K10" s="161"/>
      <c r="L10" s="71"/>
      <c r="M10" s="141"/>
      <c r="Y10" s="46" t="s">
        <v>2</v>
      </c>
    </row>
    <row r="11" spans="1:25" x14ac:dyDescent="0.2">
      <c r="A11" s="85"/>
      <c r="F11" s="51"/>
      <c r="G11" s="51"/>
      <c r="J11" s="138" t="s">
        <v>66</v>
      </c>
      <c r="K11" s="161">
        <v>400</v>
      </c>
      <c r="L11" s="71"/>
      <c r="M11" s="141"/>
    </row>
    <row r="12" spans="1:25" x14ac:dyDescent="0.2">
      <c r="A12" s="85"/>
      <c r="K12" s="164"/>
      <c r="L12" s="71"/>
      <c r="M12" s="141"/>
    </row>
    <row r="13" spans="1:25" x14ac:dyDescent="0.2">
      <c r="A13" s="88"/>
      <c r="B13" s="165"/>
      <c r="C13" s="165"/>
      <c r="D13" s="165"/>
      <c r="E13" s="166" t="s">
        <v>44</v>
      </c>
      <c r="F13" s="167">
        <f>SUM(F3:F11)</f>
        <v>20760</v>
      </c>
      <c r="G13" s="165"/>
      <c r="H13" s="165"/>
      <c r="I13" s="165"/>
      <c r="J13" s="168" t="s">
        <v>44</v>
      </c>
      <c r="K13" s="169">
        <f>SUM(K3:K11)</f>
        <v>1810</v>
      </c>
      <c r="L13" s="71"/>
    </row>
    <row r="14" spans="1:25" hidden="1" x14ac:dyDescent="0.2">
      <c r="A14" s="136" t="s">
        <v>82</v>
      </c>
      <c r="B14" s="145">
        <f>'Input Property 3'!B3+F13+SUM(K4:K11)-B4</f>
        <v>311160</v>
      </c>
      <c r="C14" s="82"/>
      <c r="D14" s="82"/>
      <c r="E14" s="200"/>
      <c r="F14" s="201"/>
      <c r="G14" s="82"/>
      <c r="H14" s="82"/>
      <c r="I14" s="82"/>
      <c r="J14" s="202"/>
      <c r="K14" s="203"/>
      <c r="L14" s="71"/>
    </row>
    <row r="15" spans="1:25" x14ac:dyDescent="0.2">
      <c r="A15" s="60"/>
      <c r="B15" s="60"/>
      <c r="C15" s="60"/>
      <c r="D15" s="82"/>
      <c r="E15" s="82"/>
      <c r="F15" s="82"/>
      <c r="G15" s="82"/>
      <c r="H15" s="60"/>
      <c r="I15" s="60"/>
      <c r="J15" s="60"/>
      <c r="K15" s="60"/>
    </row>
    <row r="16" spans="1:25" x14ac:dyDescent="0.2">
      <c r="A16" s="136" t="s">
        <v>82</v>
      </c>
      <c r="B16" s="142">
        <f>B5-B4+Duties!B10</f>
        <v>313980</v>
      </c>
      <c r="C16" s="75"/>
      <c r="D16" s="178"/>
      <c r="E16" s="381" t="s">
        <v>213</v>
      </c>
      <c r="F16" s="382"/>
      <c r="G16" s="171"/>
      <c r="H16" s="71"/>
      <c r="I16" s="170"/>
      <c r="J16" s="156" t="s">
        <v>219</v>
      </c>
      <c r="K16" s="171"/>
    </row>
    <row r="17" spans="1:22" x14ac:dyDescent="0.2">
      <c r="A17" s="136" t="s">
        <v>83</v>
      </c>
      <c r="B17" s="145">
        <v>30000</v>
      </c>
      <c r="C17" s="75"/>
      <c r="D17" s="379" t="s">
        <v>119</v>
      </c>
      <c r="E17" s="380"/>
      <c r="F17" s="217">
        <v>7.0000000000000007E-2</v>
      </c>
      <c r="G17" s="164"/>
      <c r="H17" s="71"/>
      <c r="I17" s="379" t="s">
        <v>119</v>
      </c>
      <c r="J17" s="380"/>
      <c r="K17" s="183">
        <f>F17</f>
        <v>7.0000000000000007E-2</v>
      </c>
    </row>
    <row r="18" spans="1:22" x14ac:dyDescent="0.2">
      <c r="A18" s="136" t="s">
        <v>88</v>
      </c>
      <c r="B18" s="255">
        <v>4.4999999999999998E-2</v>
      </c>
      <c r="C18" s="75"/>
      <c r="D18" s="85"/>
      <c r="E18" s="179" t="s">
        <v>54</v>
      </c>
      <c r="F18" s="181">
        <v>300</v>
      </c>
      <c r="G18" s="182" t="s">
        <v>217</v>
      </c>
      <c r="H18" s="71"/>
      <c r="I18" s="85"/>
      <c r="J18" s="146" t="s">
        <v>54</v>
      </c>
      <c r="K18" s="184">
        <f t="shared" ref="K18:K31" si="0">IF(G18=$W$3,F18*52.25,IF(G18=$W$4,F18*26,IF(G18=$W$5,F18*12,IF(G18=$W$6,F18*4,IF(G18=$W$7,F18,0)))))</f>
        <v>1200</v>
      </c>
    </row>
    <row r="19" spans="1:22" x14ac:dyDescent="0.2">
      <c r="A19" s="136" t="s">
        <v>89</v>
      </c>
      <c r="B19" s="147">
        <v>4.4999999999999998E-2</v>
      </c>
      <c r="C19" s="75"/>
      <c r="D19" s="85"/>
      <c r="E19" s="179" t="s">
        <v>55</v>
      </c>
      <c r="F19" s="181">
        <v>1000</v>
      </c>
      <c r="G19" s="182" t="s">
        <v>37</v>
      </c>
      <c r="H19" s="71"/>
      <c r="I19" s="85"/>
      <c r="J19" s="146" t="s">
        <v>55</v>
      </c>
      <c r="K19" s="184">
        <f t="shared" si="0"/>
        <v>1000</v>
      </c>
    </row>
    <row r="20" spans="1:22" x14ac:dyDescent="0.2">
      <c r="A20" s="136" t="s">
        <v>29</v>
      </c>
      <c r="B20" s="148">
        <v>43107</v>
      </c>
      <c r="C20" s="75"/>
      <c r="D20" s="85"/>
      <c r="E20" s="179" t="s">
        <v>212</v>
      </c>
      <c r="F20" s="181">
        <v>0</v>
      </c>
      <c r="G20" s="182" t="s">
        <v>172</v>
      </c>
      <c r="H20" s="71"/>
      <c r="I20" s="85"/>
      <c r="J20" s="146" t="s">
        <v>212</v>
      </c>
      <c r="K20" s="184">
        <f t="shared" si="0"/>
        <v>0</v>
      </c>
    </row>
    <row r="21" spans="1:22" x14ac:dyDescent="0.2">
      <c r="A21" s="136" t="s">
        <v>155</v>
      </c>
      <c r="B21" s="251">
        <f>DATE(YEAR(B20),6,30)</f>
        <v>43281</v>
      </c>
      <c r="C21" s="75"/>
      <c r="D21" s="85"/>
      <c r="E21" s="179" t="s">
        <v>28</v>
      </c>
      <c r="F21" s="181">
        <v>0</v>
      </c>
      <c r="G21" s="182" t="s">
        <v>172</v>
      </c>
      <c r="H21" s="71"/>
      <c r="I21" s="85"/>
      <c r="J21" s="146" t="s">
        <v>28</v>
      </c>
      <c r="K21" s="184">
        <f t="shared" si="0"/>
        <v>0</v>
      </c>
    </row>
    <row r="22" spans="1:22" x14ac:dyDescent="0.2">
      <c r="A22" s="212" t="s">
        <v>165</v>
      </c>
      <c r="B22" s="211">
        <v>3.9E-2</v>
      </c>
      <c r="C22" s="75"/>
      <c r="D22" s="85"/>
      <c r="E22" s="179" t="s">
        <v>18</v>
      </c>
      <c r="F22" s="181">
        <v>0</v>
      </c>
      <c r="G22" s="182" t="s">
        <v>172</v>
      </c>
      <c r="H22" s="71"/>
      <c r="I22" s="85"/>
      <c r="J22" s="146" t="s">
        <v>18</v>
      </c>
      <c r="K22" s="184">
        <f t="shared" si="0"/>
        <v>0</v>
      </c>
    </row>
    <row r="23" spans="1:22" x14ac:dyDescent="0.2">
      <c r="A23" s="212" t="s">
        <v>243</v>
      </c>
      <c r="B23" s="211">
        <v>7.0000000000000007E-2</v>
      </c>
      <c r="C23" s="177"/>
      <c r="D23" s="85"/>
      <c r="E23" s="179" t="s">
        <v>19</v>
      </c>
      <c r="F23" s="181">
        <v>1200</v>
      </c>
      <c r="G23" s="182" t="s">
        <v>37</v>
      </c>
      <c r="H23" s="71"/>
      <c r="I23" s="85"/>
      <c r="J23" s="146" t="s">
        <v>19</v>
      </c>
      <c r="K23" s="184">
        <f t="shared" si="0"/>
        <v>1200</v>
      </c>
    </row>
    <row r="24" spans="1:22" x14ac:dyDescent="0.2">
      <c r="C24" s="75"/>
      <c r="D24" s="85"/>
      <c r="E24" s="179" t="s">
        <v>20</v>
      </c>
      <c r="F24" s="181">
        <v>0</v>
      </c>
      <c r="G24" s="182" t="s">
        <v>172</v>
      </c>
      <c r="H24" s="71"/>
      <c r="I24" s="85"/>
      <c r="J24" s="146" t="s">
        <v>20</v>
      </c>
      <c r="K24" s="184">
        <f t="shared" si="0"/>
        <v>0</v>
      </c>
    </row>
    <row r="25" spans="1:22" x14ac:dyDescent="0.2">
      <c r="A25" s="144" t="s">
        <v>148</v>
      </c>
      <c r="B25" s="149"/>
      <c r="C25" s="75"/>
      <c r="D25" s="85"/>
      <c r="E25" s="179" t="s">
        <v>21</v>
      </c>
      <c r="F25" s="181">
        <v>0</v>
      </c>
      <c r="G25" s="182" t="s">
        <v>172</v>
      </c>
      <c r="H25" s="71"/>
      <c r="I25" s="85"/>
      <c r="J25" s="146" t="s">
        <v>21</v>
      </c>
      <c r="K25" s="184">
        <f t="shared" si="0"/>
        <v>0</v>
      </c>
    </row>
    <row r="26" spans="1:22" x14ac:dyDescent="0.2">
      <c r="A26" s="136" t="s">
        <v>140</v>
      </c>
      <c r="B26" s="150">
        <v>0.8</v>
      </c>
      <c r="C26" s="75"/>
      <c r="D26" s="85"/>
      <c r="E26" s="179" t="s">
        <v>22</v>
      </c>
      <c r="F26" s="181">
        <v>0</v>
      </c>
      <c r="G26" s="182" t="s">
        <v>172</v>
      </c>
      <c r="H26" s="71"/>
      <c r="I26" s="85"/>
      <c r="J26" s="146" t="s">
        <v>22</v>
      </c>
      <c r="K26" s="184">
        <f t="shared" si="0"/>
        <v>0</v>
      </c>
      <c r="V26" s="46">
        <v>0.5</v>
      </c>
    </row>
    <row r="27" spans="1:22" x14ac:dyDescent="0.2">
      <c r="A27" s="136" t="s">
        <v>141</v>
      </c>
      <c r="B27" s="151">
        <f>1-B26</f>
        <v>0.19999999999999996</v>
      </c>
      <c r="C27" s="75"/>
      <c r="D27" s="85"/>
      <c r="E27" s="179" t="s">
        <v>23</v>
      </c>
      <c r="F27" s="181">
        <v>0</v>
      </c>
      <c r="G27" s="182" t="s">
        <v>172</v>
      </c>
      <c r="H27" s="71"/>
      <c r="I27" s="85"/>
      <c r="J27" s="146" t="s">
        <v>23</v>
      </c>
      <c r="K27" s="184">
        <f t="shared" si="0"/>
        <v>0</v>
      </c>
      <c r="V27" s="46">
        <v>1</v>
      </c>
    </row>
    <row r="28" spans="1:22" x14ac:dyDescent="0.2">
      <c r="A28" s="144" t="s">
        <v>50</v>
      </c>
      <c r="B28" s="151"/>
      <c r="C28" s="75"/>
      <c r="D28" s="85"/>
      <c r="E28" s="179" t="s">
        <v>24</v>
      </c>
      <c r="F28" s="181">
        <v>0</v>
      </c>
      <c r="G28" s="182" t="s">
        <v>172</v>
      </c>
      <c r="H28" s="71"/>
      <c r="I28" s="85"/>
      <c r="J28" s="146" t="s">
        <v>24</v>
      </c>
      <c r="K28" s="184">
        <f t="shared" si="0"/>
        <v>0</v>
      </c>
      <c r="V28" s="46">
        <v>2</v>
      </c>
    </row>
    <row r="29" spans="1:22" x14ac:dyDescent="0.2">
      <c r="A29" s="136" t="s">
        <v>146</v>
      </c>
      <c r="B29" s="378">
        <f>'Input Property 1'!B29</f>
        <v>123000</v>
      </c>
      <c r="C29" s="75"/>
      <c r="D29" s="85"/>
      <c r="E29" s="179" t="s">
        <v>25</v>
      </c>
      <c r="F29" s="181">
        <v>0</v>
      </c>
      <c r="G29" s="182" t="s">
        <v>215</v>
      </c>
      <c r="H29" s="71"/>
      <c r="I29" s="85"/>
      <c r="J29" s="146" t="s">
        <v>25</v>
      </c>
      <c r="K29" s="184">
        <f t="shared" si="0"/>
        <v>0</v>
      </c>
    </row>
    <row r="30" spans="1:22" x14ac:dyDescent="0.2">
      <c r="A30" s="136" t="s">
        <v>147</v>
      </c>
      <c r="B30" s="378">
        <f>'Input Property 1'!B30</f>
        <v>96000</v>
      </c>
      <c r="C30" s="75"/>
      <c r="D30" s="85"/>
      <c r="E30" s="179" t="s">
        <v>26</v>
      </c>
      <c r="F30" s="181">
        <v>11</v>
      </c>
      <c r="G30" s="182" t="s">
        <v>172</v>
      </c>
      <c r="H30" s="71"/>
      <c r="I30" s="85"/>
      <c r="J30" s="146" t="s">
        <v>26</v>
      </c>
      <c r="K30" s="184">
        <f t="shared" si="0"/>
        <v>574.75</v>
      </c>
    </row>
    <row r="31" spans="1:22" x14ac:dyDescent="0.2">
      <c r="A31" s="136" t="s">
        <v>242</v>
      </c>
      <c r="B31" s="239">
        <f>'Input Property 1'!B31</f>
        <v>0.02</v>
      </c>
      <c r="C31" s="75"/>
      <c r="D31" s="85"/>
      <c r="E31" s="179" t="s">
        <v>27</v>
      </c>
      <c r="F31" s="181">
        <v>0</v>
      </c>
      <c r="G31" s="182" t="s">
        <v>172</v>
      </c>
      <c r="H31" s="71"/>
      <c r="I31" s="85"/>
      <c r="J31" s="146" t="s">
        <v>27</v>
      </c>
      <c r="K31" s="184">
        <f t="shared" si="0"/>
        <v>0</v>
      </c>
    </row>
    <row r="32" spans="1:22" x14ac:dyDescent="0.2">
      <c r="A32" s="136" t="s">
        <v>30</v>
      </c>
      <c r="B32" s="148">
        <v>32750</v>
      </c>
      <c r="C32" s="75"/>
      <c r="D32" s="88"/>
      <c r="E32" s="180"/>
      <c r="F32" s="218"/>
      <c r="G32" s="219"/>
      <c r="H32" s="71"/>
      <c r="I32" s="88"/>
      <c r="J32" s="172"/>
      <c r="K32" s="185"/>
    </row>
    <row r="33" spans="1:17" x14ac:dyDescent="0.2">
      <c r="A33" s="174" t="s">
        <v>156</v>
      </c>
      <c r="B33" s="175">
        <f>B20+(100*365)</f>
        <v>79607</v>
      </c>
      <c r="C33" s="75"/>
      <c r="H33" s="71"/>
      <c r="K33" s="60"/>
    </row>
    <row r="34" spans="1:17" x14ac:dyDescent="0.2">
      <c r="A34" s="174" t="s">
        <v>223</v>
      </c>
      <c r="B34" s="187">
        <v>0.3</v>
      </c>
      <c r="C34" s="75"/>
      <c r="D34" s="60"/>
      <c r="E34" s="60"/>
      <c r="F34" s="60"/>
      <c r="G34" s="60"/>
      <c r="H34" s="71"/>
      <c r="K34" s="60"/>
    </row>
    <row r="35" spans="1:17" x14ac:dyDescent="0.2">
      <c r="A35" s="174" t="s">
        <v>224</v>
      </c>
      <c r="B35" s="192">
        <v>5000</v>
      </c>
      <c r="C35" s="75"/>
      <c r="D35" s="60"/>
      <c r="E35" s="60"/>
      <c r="F35" s="60"/>
      <c r="G35" s="60"/>
      <c r="H35" s="71"/>
      <c r="K35" s="60"/>
    </row>
    <row r="36" spans="1:17" x14ac:dyDescent="0.2">
      <c r="A36" s="212" t="s">
        <v>150</v>
      </c>
      <c r="B36" s="239">
        <f>'Input Property 1'!B36</f>
        <v>2.5000000000000001E-2</v>
      </c>
      <c r="D36" s="60"/>
      <c r="E36" s="60"/>
      <c r="F36" s="60"/>
      <c r="G36" s="60"/>
      <c r="K36" s="60"/>
    </row>
    <row r="37" spans="1:17" x14ac:dyDescent="0.2">
      <c r="A37" s="214"/>
      <c r="B37" s="247"/>
      <c r="C37" s="76"/>
      <c r="D37" s="82"/>
      <c r="E37" s="82"/>
      <c r="F37" s="82"/>
      <c r="G37" s="82"/>
      <c r="H37" s="76"/>
      <c r="I37" s="76"/>
      <c r="J37" s="76"/>
      <c r="K37" s="82"/>
      <c r="L37" s="76"/>
      <c r="M37" s="76"/>
      <c r="N37" s="76"/>
      <c r="O37" s="76"/>
      <c r="P37" s="76"/>
      <c r="Q37" s="76"/>
    </row>
    <row r="38" spans="1:17" x14ac:dyDescent="0.2">
      <c r="A38" s="214" t="s">
        <v>244</v>
      </c>
      <c r="B38" s="216">
        <v>1</v>
      </c>
      <c r="C38" s="76"/>
      <c r="D38" s="82"/>
      <c r="E38" s="82"/>
      <c r="F38" s="82"/>
      <c r="G38" s="82"/>
      <c r="H38" s="76"/>
      <c r="I38" s="76"/>
      <c r="J38" s="76"/>
      <c r="K38" s="82"/>
      <c r="L38" s="76"/>
      <c r="M38" s="76"/>
      <c r="N38" s="76"/>
      <c r="O38" s="76"/>
      <c r="P38" s="76"/>
      <c r="Q38" s="76"/>
    </row>
    <row r="39" spans="1:17" x14ac:dyDescent="0.2">
      <c r="A39" s="214" t="s">
        <v>220</v>
      </c>
      <c r="B39" s="215">
        <v>0.9</v>
      </c>
      <c r="C39" s="76"/>
      <c r="D39" s="82"/>
      <c r="E39" s="82"/>
      <c r="F39" s="82"/>
      <c r="G39" s="82"/>
      <c r="H39" s="76"/>
      <c r="I39" s="76"/>
      <c r="J39" s="76"/>
      <c r="K39" s="82"/>
      <c r="L39" s="76"/>
      <c r="M39" s="76"/>
      <c r="N39" s="76"/>
      <c r="O39" s="76"/>
      <c r="P39" s="76"/>
      <c r="Q39" s="76"/>
    </row>
    <row r="40" spans="1:17" x14ac:dyDescent="0.2">
      <c r="A40" s="214"/>
      <c r="B40" s="247"/>
      <c r="C40" s="76"/>
      <c r="D40" s="82"/>
      <c r="E40" s="82"/>
      <c r="F40" s="82"/>
      <c r="G40" s="82"/>
      <c r="H40" s="76"/>
      <c r="I40" s="76"/>
      <c r="J40" s="76"/>
      <c r="K40" s="82"/>
      <c r="L40" s="76"/>
      <c r="M40" s="76"/>
      <c r="N40" s="76"/>
      <c r="O40" s="76"/>
      <c r="P40" s="76"/>
      <c r="Q40" s="76"/>
    </row>
    <row r="41" spans="1:17" x14ac:dyDescent="0.2">
      <c r="A41" s="214"/>
      <c r="B41" s="247"/>
      <c r="C41" s="76"/>
      <c r="D41" s="82"/>
      <c r="E41" s="82"/>
      <c r="F41" s="82"/>
      <c r="G41" s="82"/>
      <c r="H41" s="76"/>
      <c r="I41" s="76"/>
      <c r="J41" s="76"/>
      <c r="K41" s="82"/>
      <c r="L41" s="76"/>
      <c r="M41" s="76"/>
      <c r="N41" s="76"/>
      <c r="O41" s="76"/>
      <c r="P41" s="76"/>
      <c r="Q41" s="76"/>
    </row>
    <row r="42" spans="1:17" x14ac:dyDescent="0.2">
      <c r="A42" s="214"/>
      <c r="B42" s="247"/>
      <c r="C42" s="76"/>
      <c r="D42" s="82"/>
      <c r="E42" s="82"/>
      <c r="F42" s="82"/>
      <c r="G42" s="82"/>
      <c r="H42" s="76"/>
      <c r="I42" s="76"/>
      <c r="J42" s="76"/>
      <c r="K42" s="82"/>
      <c r="L42" s="76"/>
      <c r="M42" s="76"/>
      <c r="N42" s="76"/>
      <c r="O42" s="76"/>
      <c r="P42" s="76"/>
      <c r="Q42" s="76"/>
    </row>
    <row r="43" spans="1:17" ht="13.5" thickBot="1" x14ac:dyDescent="0.25">
      <c r="A43" s="213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</row>
    <row r="44" spans="1:17" x14ac:dyDescent="0.2">
      <c r="A44" s="221"/>
      <c r="B44" s="222" t="s">
        <v>95</v>
      </c>
      <c r="C44" s="222" t="s">
        <v>96</v>
      </c>
      <c r="D44" s="222" t="s">
        <v>97</v>
      </c>
      <c r="E44" s="222" t="s">
        <v>98</v>
      </c>
      <c r="F44" s="222" t="s">
        <v>99</v>
      </c>
      <c r="G44" s="222" t="s">
        <v>100</v>
      </c>
      <c r="H44" s="222" t="s">
        <v>101</v>
      </c>
      <c r="I44" s="222" t="s">
        <v>102</v>
      </c>
      <c r="J44" s="222" t="s">
        <v>103</v>
      </c>
      <c r="K44" s="222" t="s">
        <v>104</v>
      </c>
      <c r="L44" s="222" t="s">
        <v>105</v>
      </c>
      <c r="M44" s="222" t="s">
        <v>106</v>
      </c>
      <c r="N44" s="222" t="s">
        <v>107</v>
      </c>
      <c r="O44" s="222" t="s">
        <v>108</v>
      </c>
      <c r="P44" s="223" t="s">
        <v>109</v>
      </c>
      <c r="Q44" s="71"/>
    </row>
    <row r="45" spans="1:17" x14ac:dyDescent="0.2">
      <c r="A45" s="224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225"/>
      <c r="Q45" s="71"/>
    </row>
    <row r="46" spans="1:17" x14ac:dyDescent="0.2">
      <c r="A46" s="224" t="s">
        <v>146</v>
      </c>
      <c r="B46" s="47">
        <f>B29</f>
        <v>123000</v>
      </c>
      <c r="C46" s="47">
        <f>B46*(1+B47)</f>
        <v>125460</v>
      </c>
      <c r="D46" s="47">
        <f t="shared" ref="D46:P46" si="1">C46*(1+C47)</f>
        <v>127969.2</v>
      </c>
      <c r="E46" s="47">
        <f t="shared" si="1"/>
        <v>130528.584</v>
      </c>
      <c r="F46" s="47">
        <f t="shared" si="1"/>
        <v>133139.15568</v>
      </c>
      <c r="G46" s="47">
        <f t="shared" si="1"/>
        <v>135801.93879360001</v>
      </c>
      <c r="H46" s="47">
        <f t="shared" si="1"/>
        <v>138517.97756947202</v>
      </c>
      <c r="I46" s="47">
        <f t="shared" si="1"/>
        <v>141288.33712086146</v>
      </c>
      <c r="J46" s="47">
        <f t="shared" si="1"/>
        <v>144114.10386327869</v>
      </c>
      <c r="K46" s="47">
        <f t="shared" si="1"/>
        <v>146996.38594054428</v>
      </c>
      <c r="L46" s="47">
        <f t="shared" si="1"/>
        <v>149936.31365935516</v>
      </c>
      <c r="M46" s="47">
        <f t="shared" si="1"/>
        <v>152935.03993254228</v>
      </c>
      <c r="N46" s="47">
        <f t="shared" si="1"/>
        <v>155993.74073119313</v>
      </c>
      <c r="O46" s="47">
        <f t="shared" si="1"/>
        <v>159113.61554581701</v>
      </c>
      <c r="P46" s="226">
        <f t="shared" si="1"/>
        <v>162295.88785673334</v>
      </c>
      <c r="Q46" s="71"/>
    </row>
    <row r="47" spans="1:17" x14ac:dyDescent="0.2">
      <c r="A47" s="224" t="s">
        <v>218</v>
      </c>
      <c r="B47" s="186">
        <f>$B$31</f>
        <v>0.02</v>
      </c>
      <c r="C47" s="186">
        <f t="shared" ref="C47:P47" si="2">$B$31</f>
        <v>0.02</v>
      </c>
      <c r="D47" s="186">
        <f t="shared" si="2"/>
        <v>0.02</v>
      </c>
      <c r="E47" s="186">
        <f t="shared" si="2"/>
        <v>0.02</v>
      </c>
      <c r="F47" s="186">
        <f t="shared" si="2"/>
        <v>0.02</v>
      </c>
      <c r="G47" s="186">
        <f t="shared" si="2"/>
        <v>0.02</v>
      </c>
      <c r="H47" s="186">
        <f t="shared" si="2"/>
        <v>0.02</v>
      </c>
      <c r="I47" s="186">
        <f t="shared" si="2"/>
        <v>0.02</v>
      </c>
      <c r="J47" s="186">
        <f t="shared" si="2"/>
        <v>0.02</v>
      </c>
      <c r="K47" s="186">
        <f t="shared" si="2"/>
        <v>0.02</v>
      </c>
      <c r="L47" s="186">
        <f t="shared" si="2"/>
        <v>0.02</v>
      </c>
      <c r="M47" s="186">
        <f t="shared" si="2"/>
        <v>0.02</v>
      </c>
      <c r="N47" s="186">
        <f t="shared" si="2"/>
        <v>0.02</v>
      </c>
      <c r="O47" s="186">
        <f t="shared" si="2"/>
        <v>0.02</v>
      </c>
      <c r="P47" s="227">
        <f t="shared" si="2"/>
        <v>0.02</v>
      </c>
      <c r="Q47" s="71"/>
    </row>
    <row r="48" spans="1:17" x14ac:dyDescent="0.2">
      <c r="A48" s="224" t="s">
        <v>147</v>
      </c>
      <c r="B48" s="47">
        <f>B30</f>
        <v>96000</v>
      </c>
      <c r="C48" s="47">
        <f>B48*(1+B49)</f>
        <v>97920</v>
      </c>
      <c r="D48" s="47">
        <f t="shared" ref="D48:P48" si="3">C48*(1+C49)</f>
        <v>99878.400000000009</v>
      </c>
      <c r="E48" s="47">
        <f t="shared" si="3"/>
        <v>101875.96800000001</v>
      </c>
      <c r="F48" s="47">
        <f t="shared" si="3"/>
        <v>103913.48736000001</v>
      </c>
      <c r="G48" s="47">
        <f t="shared" si="3"/>
        <v>105991.75710720001</v>
      </c>
      <c r="H48" s="47">
        <f t="shared" si="3"/>
        <v>108111.59224934402</v>
      </c>
      <c r="I48" s="47">
        <f t="shared" si="3"/>
        <v>110273.82409433089</v>
      </c>
      <c r="J48" s="47">
        <f t="shared" si="3"/>
        <v>112479.30057621752</v>
      </c>
      <c r="K48" s="47">
        <f t="shared" si="3"/>
        <v>114728.88658774187</v>
      </c>
      <c r="L48" s="47">
        <f t="shared" si="3"/>
        <v>117023.46431949671</v>
      </c>
      <c r="M48" s="47">
        <f t="shared" si="3"/>
        <v>119363.93360588665</v>
      </c>
      <c r="N48" s="47">
        <f t="shared" si="3"/>
        <v>121751.21227800439</v>
      </c>
      <c r="O48" s="47">
        <f t="shared" si="3"/>
        <v>124186.23652356448</v>
      </c>
      <c r="P48" s="226">
        <f t="shared" si="3"/>
        <v>126669.96125403578</v>
      </c>
      <c r="Q48" s="71"/>
    </row>
    <row r="49" spans="1:22" x14ac:dyDescent="0.2">
      <c r="A49" s="224" t="s">
        <v>218</v>
      </c>
      <c r="B49" s="186">
        <f>$B$31</f>
        <v>0.02</v>
      </c>
      <c r="C49" s="186">
        <f t="shared" ref="C49:P49" si="4">$B$31</f>
        <v>0.02</v>
      </c>
      <c r="D49" s="186">
        <f t="shared" si="4"/>
        <v>0.02</v>
      </c>
      <c r="E49" s="186">
        <f t="shared" si="4"/>
        <v>0.02</v>
      </c>
      <c r="F49" s="186">
        <f t="shared" si="4"/>
        <v>0.02</v>
      </c>
      <c r="G49" s="186">
        <f t="shared" si="4"/>
        <v>0.02</v>
      </c>
      <c r="H49" s="186">
        <f t="shared" si="4"/>
        <v>0.02</v>
      </c>
      <c r="I49" s="186">
        <f t="shared" si="4"/>
        <v>0.02</v>
      </c>
      <c r="J49" s="186">
        <f t="shared" si="4"/>
        <v>0.02</v>
      </c>
      <c r="K49" s="186">
        <f t="shared" si="4"/>
        <v>0.02</v>
      </c>
      <c r="L49" s="186">
        <f t="shared" si="4"/>
        <v>0.02</v>
      </c>
      <c r="M49" s="186">
        <f t="shared" si="4"/>
        <v>0.02</v>
      </c>
      <c r="N49" s="186">
        <f t="shared" si="4"/>
        <v>0.02</v>
      </c>
      <c r="O49" s="186">
        <f t="shared" si="4"/>
        <v>0.02</v>
      </c>
      <c r="P49" s="227">
        <f t="shared" si="4"/>
        <v>0.02</v>
      </c>
      <c r="Q49" s="71"/>
    </row>
    <row r="50" spans="1:22" x14ac:dyDescent="0.2">
      <c r="A50" s="224" t="s">
        <v>165</v>
      </c>
      <c r="B50" s="147">
        <f>$B$22</f>
        <v>3.9E-2</v>
      </c>
      <c r="C50" s="147">
        <f t="shared" ref="C50:P50" si="5">$B$22</f>
        <v>3.9E-2</v>
      </c>
      <c r="D50" s="147">
        <f t="shared" si="5"/>
        <v>3.9E-2</v>
      </c>
      <c r="E50" s="147">
        <f t="shared" si="5"/>
        <v>3.9E-2</v>
      </c>
      <c r="F50" s="147">
        <f t="shared" si="5"/>
        <v>3.9E-2</v>
      </c>
      <c r="G50" s="147">
        <f t="shared" si="5"/>
        <v>3.9E-2</v>
      </c>
      <c r="H50" s="147">
        <f t="shared" si="5"/>
        <v>3.9E-2</v>
      </c>
      <c r="I50" s="147">
        <f t="shared" si="5"/>
        <v>3.9E-2</v>
      </c>
      <c r="J50" s="147">
        <f t="shared" si="5"/>
        <v>3.9E-2</v>
      </c>
      <c r="K50" s="147">
        <f t="shared" si="5"/>
        <v>3.9E-2</v>
      </c>
      <c r="L50" s="147">
        <f t="shared" si="5"/>
        <v>3.9E-2</v>
      </c>
      <c r="M50" s="147">
        <f t="shared" si="5"/>
        <v>3.9E-2</v>
      </c>
      <c r="N50" s="147">
        <f t="shared" si="5"/>
        <v>3.9E-2</v>
      </c>
      <c r="O50" s="147">
        <f t="shared" si="5"/>
        <v>3.9E-2</v>
      </c>
      <c r="P50" s="228">
        <f t="shared" si="5"/>
        <v>3.9E-2</v>
      </c>
      <c r="Q50" s="71"/>
    </row>
    <row r="51" spans="1:22" x14ac:dyDescent="0.2">
      <c r="A51" s="224" t="s">
        <v>150</v>
      </c>
      <c r="B51" s="239">
        <f>$B$36</f>
        <v>2.5000000000000001E-2</v>
      </c>
      <c r="C51" s="239">
        <f t="shared" ref="C51:P51" si="6">$B$36</f>
        <v>2.5000000000000001E-2</v>
      </c>
      <c r="D51" s="239">
        <f t="shared" si="6"/>
        <v>2.5000000000000001E-2</v>
      </c>
      <c r="E51" s="239">
        <f t="shared" si="6"/>
        <v>2.5000000000000001E-2</v>
      </c>
      <c r="F51" s="239">
        <f t="shared" si="6"/>
        <v>2.5000000000000001E-2</v>
      </c>
      <c r="G51" s="239">
        <f t="shared" si="6"/>
        <v>2.5000000000000001E-2</v>
      </c>
      <c r="H51" s="239">
        <f t="shared" si="6"/>
        <v>2.5000000000000001E-2</v>
      </c>
      <c r="I51" s="239">
        <f t="shared" si="6"/>
        <v>2.5000000000000001E-2</v>
      </c>
      <c r="J51" s="239">
        <f t="shared" si="6"/>
        <v>2.5000000000000001E-2</v>
      </c>
      <c r="K51" s="239">
        <f t="shared" si="6"/>
        <v>2.5000000000000001E-2</v>
      </c>
      <c r="L51" s="239">
        <f t="shared" si="6"/>
        <v>2.5000000000000001E-2</v>
      </c>
      <c r="M51" s="239">
        <f t="shared" si="6"/>
        <v>2.5000000000000001E-2</v>
      </c>
      <c r="N51" s="239">
        <f t="shared" si="6"/>
        <v>2.5000000000000001E-2</v>
      </c>
      <c r="O51" s="239">
        <f t="shared" si="6"/>
        <v>2.5000000000000001E-2</v>
      </c>
      <c r="P51" s="240">
        <f t="shared" si="6"/>
        <v>2.5000000000000001E-2</v>
      </c>
      <c r="Q51" s="71"/>
    </row>
    <row r="52" spans="1:22" s="66" customFormat="1" x14ac:dyDescent="0.2">
      <c r="A52" s="229" t="s">
        <v>151</v>
      </c>
      <c r="B52" s="241">
        <f>$B$23</f>
        <v>7.0000000000000007E-2</v>
      </c>
      <c r="C52" s="241">
        <f t="shared" ref="C52:V52" si="7">$B$23</f>
        <v>7.0000000000000007E-2</v>
      </c>
      <c r="D52" s="241">
        <f t="shared" si="7"/>
        <v>7.0000000000000007E-2</v>
      </c>
      <c r="E52" s="241">
        <f t="shared" si="7"/>
        <v>7.0000000000000007E-2</v>
      </c>
      <c r="F52" s="241">
        <f t="shared" si="7"/>
        <v>7.0000000000000007E-2</v>
      </c>
      <c r="G52" s="241">
        <f t="shared" si="7"/>
        <v>7.0000000000000007E-2</v>
      </c>
      <c r="H52" s="241">
        <f t="shared" si="7"/>
        <v>7.0000000000000007E-2</v>
      </c>
      <c r="I52" s="241">
        <f t="shared" si="7"/>
        <v>7.0000000000000007E-2</v>
      </c>
      <c r="J52" s="241">
        <f t="shared" si="7"/>
        <v>7.0000000000000007E-2</v>
      </c>
      <c r="K52" s="241">
        <f t="shared" si="7"/>
        <v>7.0000000000000007E-2</v>
      </c>
      <c r="L52" s="241">
        <f t="shared" si="7"/>
        <v>7.0000000000000007E-2</v>
      </c>
      <c r="M52" s="241">
        <f t="shared" si="7"/>
        <v>7.0000000000000007E-2</v>
      </c>
      <c r="N52" s="241">
        <f t="shared" si="7"/>
        <v>7.0000000000000007E-2</v>
      </c>
      <c r="O52" s="241">
        <f t="shared" si="7"/>
        <v>7.0000000000000007E-2</v>
      </c>
      <c r="P52" s="242">
        <f t="shared" si="7"/>
        <v>7.0000000000000007E-2</v>
      </c>
      <c r="Q52" s="220">
        <f t="shared" si="7"/>
        <v>7.0000000000000007E-2</v>
      </c>
      <c r="R52" s="154">
        <f t="shared" si="7"/>
        <v>7.0000000000000007E-2</v>
      </c>
      <c r="S52" s="154">
        <f t="shared" si="7"/>
        <v>7.0000000000000007E-2</v>
      </c>
      <c r="T52" s="154">
        <f t="shared" si="7"/>
        <v>7.0000000000000007E-2</v>
      </c>
      <c r="U52" s="154">
        <f t="shared" si="7"/>
        <v>7.0000000000000007E-2</v>
      </c>
      <c r="V52" s="154">
        <f t="shared" si="7"/>
        <v>7.0000000000000007E-2</v>
      </c>
    </row>
    <row r="53" spans="1:22" s="66" customFormat="1" x14ac:dyDescent="0.2">
      <c r="A53" s="229" t="s">
        <v>152</v>
      </c>
      <c r="B53" s="176">
        <f>(52-$B$7)*7</f>
        <v>14</v>
      </c>
      <c r="C53" s="176">
        <f t="shared" ref="C53:P53" si="8">(52-$B$7)*7</f>
        <v>14</v>
      </c>
      <c r="D53" s="176">
        <f t="shared" si="8"/>
        <v>14</v>
      </c>
      <c r="E53" s="176">
        <f t="shared" si="8"/>
        <v>14</v>
      </c>
      <c r="F53" s="176">
        <f t="shared" si="8"/>
        <v>14</v>
      </c>
      <c r="G53" s="176">
        <f t="shared" si="8"/>
        <v>14</v>
      </c>
      <c r="H53" s="176">
        <f t="shared" si="8"/>
        <v>14</v>
      </c>
      <c r="I53" s="176">
        <f t="shared" si="8"/>
        <v>14</v>
      </c>
      <c r="J53" s="176">
        <f t="shared" si="8"/>
        <v>14</v>
      </c>
      <c r="K53" s="176">
        <f t="shared" si="8"/>
        <v>14</v>
      </c>
      <c r="L53" s="176">
        <f t="shared" si="8"/>
        <v>14</v>
      </c>
      <c r="M53" s="176">
        <f t="shared" si="8"/>
        <v>14</v>
      </c>
      <c r="N53" s="176">
        <f t="shared" si="8"/>
        <v>14</v>
      </c>
      <c r="O53" s="176">
        <f t="shared" si="8"/>
        <v>14</v>
      </c>
      <c r="P53" s="230">
        <f t="shared" si="8"/>
        <v>14</v>
      </c>
      <c r="Q53" s="197">
        <v>14</v>
      </c>
      <c r="R53" s="176">
        <v>14</v>
      </c>
      <c r="S53" s="176">
        <v>14</v>
      </c>
      <c r="T53" s="176">
        <v>14</v>
      </c>
      <c r="U53" s="176">
        <v>14</v>
      </c>
      <c r="V53" s="176">
        <v>14</v>
      </c>
    </row>
    <row r="54" spans="1:22" s="66" customFormat="1" x14ac:dyDescent="0.2">
      <c r="A54" s="229" t="s">
        <v>214</v>
      </c>
      <c r="B54" s="243">
        <f>$B$38</f>
        <v>1</v>
      </c>
      <c r="C54" s="243">
        <f t="shared" ref="C54:P54" si="9">$B$38</f>
        <v>1</v>
      </c>
      <c r="D54" s="243">
        <f t="shared" si="9"/>
        <v>1</v>
      </c>
      <c r="E54" s="243">
        <f t="shared" si="9"/>
        <v>1</v>
      </c>
      <c r="F54" s="243">
        <f t="shared" si="9"/>
        <v>1</v>
      </c>
      <c r="G54" s="243">
        <f t="shared" si="9"/>
        <v>1</v>
      </c>
      <c r="H54" s="243">
        <f t="shared" si="9"/>
        <v>1</v>
      </c>
      <c r="I54" s="243">
        <f t="shared" si="9"/>
        <v>1</v>
      </c>
      <c r="J54" s="243">
        <f t="shared" si="9"/>
        <v>1</v>
      </c>
      <c r="K54" s="243">
        <f t="shared" si="9"/>
        <v>1</v>
      </c>
      <c r="L54" s="243">
        <f t="shared" si="9"/>
        <v>1</v>
      </c>
      <c r="M54" s="243">
        <f t="shared" si="9"/>
        <v>1</v>
      </c>
      <c r="N54" s="243">
        <f t="shared" si="9"/>
        <v>1</v>
      </c>
      <c r="O54" s="243">
        <f t="shared" si="9"/>
        <v>1</v>
      </c>
      <c r="P54" s="244">
        <f t="shared" si="9"/>
        <v>1</v>
      </c>
      <c r="Q54" s="173"/>
    </row>
    <row r="55" spans="1:22" x14ac:dyDescent="0.2">
      <c r="A55" s="224" t="s">
        <v>153</v>
      </c>
      <c r="B55" s="245">
        <f>B18</f>
        <v>4.4999999999999998E-2</v>
      </c>
      <c r="C55" s="245">
        <f>$B$55</f>
        <v>4.4999999999999998E-2</v>
      </c>
      <c r="D55" s="245">
        <f t="shared" ref="D55:O55" si="10">$B$55</f>
        <v>4.4999999999999998E-2</v>
      </c>
      <c r="E55" s="245">
        <f t="shared" si="10"/>
        <v>4.4999999999999998E-2</v>
      </c>
      <c r="F55" s="245">
        <f t="shared" si="10"/>
        <v>4.4999999999999998E-2</v>
      </c>
      <c r="G55" s="245">
        <f t="shared" si="10"/>
        <v>4.4999999999999998E-2</v>
      </c>
      <c r="H55" s="245">
        <f t="shared" si="10"/>
        <v>4.4999999999999998E-2</v>
      </c>
      <c r="I55" s="245">
        <f t="shared" si="10"/>
        <v>4.4999999999999998E-2</v>
      </c>
      <c r="J55" s="245">
        <f t="shared" si="10"/>
        <v>4.4999999999999998E-2</v>
      </c>
      <c r="K55" s="245">
        <f t="shared" si="10"/>
        <v>4.4999999999999998E-2</v>
      </c>
      <c r="L55" s="245">
        <f t="shared" si="10"/>
        <v>4.4999999999999998E-2</v>
      </c>
      <c r="M55" s="245">
        <f t="shared" si="10"/>
        <v>4.4999999999999998E-2</v>
      </c>
      <c r="N55" s="245">
        <f t="shared" si="10"/>
        <v>4.4999999999999998E-2</v>
      </c>
      <c r="O55" s="245">
        <f t="shared" si="10"/>
        <v>4.4999999999999998E-2</v>
      </c>
      <c r="P55" s="246">
        <f>$B$55</f>
        <v>4.4999999999999998E-2</v>
      </c>
      <c r="Q55" s="71"/>
    </row>
    <row r="56" spans="1:22" x14ac:dyDescent="0.2">
      <c r="A56" s="231" t="s">
        <v>220</v>
      </c>
      <c r="B56" s="153">
        <f>$B$39</f>
        <v>0.9</v>
      </c>
      <c r="C56" s="153">
        <f t="shared" ref="C56:P56" si="11">$B$39</f>
        <v>0.9</v>
      </c>
      <c r="D56" s="153">
        <f t="shared" si="11"/>
        <v>0.9</v>
      </c>
      <c r="E56" s="153">
        <f t="shared" si="11"/>
        <v>0.9</v>
      </c>
      <c r="F56" s="153">
        <f t="shared" si="11"/>
        <v>0.9</v>
      </c>
      <c r="G56" s="153">
        <f t="shared" si="11"/>
        <v>0.9</v>
      </c>
      <c r="H56" s="153">
        <f t="shared" si="11"/>
        <v>0.9</v>
      </c>
      <c r="I56" s="153">
        <f t="shared" si="11"/>
        <v>0.9</v>
      </c>
      <c r="J56" s="153">
        <f t="shared" si="11"/>
        <v>0.9</v>
      </c>
      <c r="K56" s="153">
        <f t="shared" si="11"/>
        <v>0.9</v>
      </c>
      <c r="L56" s="153">
        <f t="shared" si="11"/>
        <v>0.9</v>
      </c>
      <c r="M56" s="153">
        <f t="shared" si="11"/>
        <v>0.9</v>
      </c>
      <c r="N56" s="153">
        <f t="shared" si="11"/>
        <v>0.9</v>
      </c>
      <c r="O56" s="153">
        <f t="shared" si="11"/>
        <v>0.9</v>
      </c>
      <c r="P56" s="232">
        <f t="shared" si="11"/>
        <v>0.9</v>
      </c>
      <c r="Q56" s="71"/>
    </row>
    <row r="57" spans="1:22" x14ac:dyDescent="0.2">
      <c r="A57" s="224" t="s">
        <v>170</v>
      </c>
      <c r="B57" s="138" t="s">
        <v>169</v>
      </c>
      <c r="C57" s="138" t="s">
        <v>169</v>
      </c>
      <c r="D57" s="138" t="s">
        <v>169</v>
      </c>
      <c r="E57" s="138" t="s">
        <v>169</v>
      </c>
      <c r="F57" s="138" t="s">
        <v>169</v>
      </c>
      <c r="G57" s="138" t="s">
        <v>169</v>
      </c>
      <c r="H57" s="138" t="s">
        <v>169</v>
      </c>
      <c r="I57" s="138" t="s">
        <v>169</v>
      </c>
      <c r="J57" s="138" t="s">
        <v>169</v>
      </c>
      <c r="K57" s="138" t="s">
        <v>169</v>
      </c>
      <c r="L57" s="138" t="s">
        <v>169</v>
      </c>
      <c r="M57" s="138" t="s">
        <v>169</v>
      </c>
      <c r="N57" s="138" t="s">
        <v>169</v>
      </c>
      <c r="O57" s="138" t="s">
        <v>169</v>
      </c>
      <c r="P57" s="225" t="s">
        <v>169</v>
      </c>
      <c r="Q57" s="71"/>
    </row>
    <row r="58" spans="1:22" x14ac:dyDescent="0.2">
      <c r="A58" s="224" t="s">
        <v>173</v>
      </c>
      <c r="B58" s="147">
        <f>$K$17</f>
        <v>7.0000000000000007E-2</v>
      </c>
      <c r="C58" s="147">
        <f t="shared" ref="C58:P58" si="12">$K$17</f>
        <v>7.0000000000000007E-2</v>
      </c>
      <c r="D58" s="147">
        <f t="shared" si="12"/>
        <v>7.0000000000000007E-2</v>
      </c>
      <c r="E58" s="147">
        <f t="shared" si="12"/>
        <v>7.0000000000000007E-2</v>
      </c>
      <c r="F58" s="147">
        <f t="shared" si="12"/>
        <v>7.0000000000000007E-2</v>
      </c>
      <c r="G58" s="147">
        <f t="shared" si="12"/>
        <v>7.0000000000000007E-2</v>
      </c>
      <c r="H58" s="147">
        <f t="shared" si="12"/>
        <v>7.0000000000000007E-2</v>
      </c>
      <c r="I58" s="147">
        <f t="shared" si="12"/>
        <v>7.0000000000000007E-2</v>
      </c>
      <c r="J58" s="147">
        <f t="shared" si="12"/>
        <v>7.0000000000000007E-2</v>
      </c>
      <c r="K58" s="147">
        <f t="shared" si="12"/>
        <v>7.0000000000000007E-2</v>
      </c>
      <c r="L58" s="147">
        <f t="shared" si="12"/>
        <v>7.0000000000000007E-2</v>
      </c>
      <c r="M58" s="147">
        <f t="shared" si="12"/>
        <v>7.0000000000000007E-2</v>
      </c>
      <c r="N58" s="147">
        <f t="shared" si="12"/>
        <v>7.0000000000000007E-2</v>
      </c>
      <c r="O58" s="147">
        <f t="shared" si="12"/>
        <v>7.0000000000000007E-2</v>
      </c>
      <c r="P58" s="228">
        <f t="shared" si="12"/>
        <v>7.0000000000000007E-2</v>
      </c>
      <c r="Q58" s="71"/>
    </row>
    <row r="59" spans="1:22" x14ac:dyDescent="0.2">
      <c r="A59" s="224" t="s">
        <v>230</v>
      </c>
      <c r="B59" s="147">
        <v>0.03</v>
      </c>
      <c r="C59" s="193">
        <f>B59*(1+B51)</f>
        <v>3.0749999999999996E-2</v>
      </c>
      <c r="D59" s="193">
        <f t="shared" ref="D59:P59" si="13">C59*(1+C51)</f>
        <v>3.1518749999999991E-2</v>
      </c>
      <c r="E59" s="193">
        <f t="shared" si="13"/>
        <v>3.2306718749999991E-2</v>
      </c>
      <c r="F59" s="193">
        <f t="shared" si="13"/>
        <v>3.3114386718749986E-2</v>
      </c>
      <c r="G59" s="193">
        <f t="shared" si="13"/>
        <v>3.3942246386718736E-2</v>
      </c>
      <c r="H59" s="193">
        <f t="shared" si="13"/>
        <v>3.4790802546386702E-2</v>
      </c>
      <c r="I59" s="193">
        <f t="shared" si="13"/>
        <v>3.5660572610046369E-2</v>
      </c>
      <c r="J59" s="193">
        <f t="shared" si="13"/>
        <v>3.6552086925297524E-2</v>
      </c>
      <c r="K59" s="193">
        <f t="shared" si="13"/>
        <v>3.7465889098429961E-2</v>
      </c>
      <c r="L59" s="193">
        <f t="shared" si="13"/>
        <v>3.8402536325890704E-2</v>
      </c>
      <c r="M59" s="193">
        <f t="shared" si="13"/>
        <v>3.9362599734037967E-2</v>
      </c>
      <c r="N59" s="193">
        <f t="shared" si="13"/>
        <v>4.034666472738891E-2</v>
      </c>
      <c r="O59" s="193">
        <f t="shared" si="13"/>
        <v>4.1355331345573627E-2</v>
      </c>
      <c r="P59" s="233">
        <f t="shared" si="13"/>
        <v>4.2389214629212961E-2</v>
      </c>
      <c r="Q59" s="71"/>
    </row>
    <row r="60" spans="1:22" x14ac:dyDescent="0.2">
      <c r="A60" s="224" t="s">
        <v>238</v>
      </c>
      <c r="B60" s="47">
        <v>3000</v>
      </c>
      <c r="C60" s="47">
        <f>B60*(1+B51)</f>
        <v>3074.9999999999995</v>
      </c>
      <c r="D60" s="47">
        <f t="shared" ref="D60:P60" si="14">C60*(1+C51)</f>
        <v>3151.8749999999991</v>
      </c>
      <c r="E60" s="47">
        <f t="shared" si="14"/>
        <v>3230.6718749999986</v>
      </c>
      <c r="F60" s="47">
        <f t="shared" si="14"/>
        <v>3311.4386718749984</v>
      </c>
      <c r="G60" s="47">
        <f t="shared" si="14"/>
        <v>3394.224638671873</v>
      </c>
      <c r="H60" s="47">
        <f t="shared" si="14"/>
        <v>3479.0802546386694</v>
      </c>
      <c r="I60" s="47">
        <f t="shared" si="14"/>
        <v>3566.0572610046361</v>
      </c>
      <c r="J60" s="47">
        <f t="shared" si="14"/>
        <v>3655.2086925297517</v>
      </c>
      <c r="K60" s="47">
        <f t="shared" si="14"/>
        <v>3746.5889098429952</v>
      </c>
      <c r="L60" s="47">
        <f t="shared" si="14"/>
        <v>3840.2536325890696</v>
      </c>
      <c r="M60" s="47">
        <f t="shared" si="14"/>
        <v>3936.2599734037958</v>
      </c>
      <c r="N60" s="47">
        <f t="shared" si="14"/>
        <v>4034.6664727388902</v>
      </c>
      <c r="O60" s="47">
        <f t="shared" si="14"/>
        <v>4135.5331345573622</v>
      </c>
      <c r="P60" s="226">
        <f t="shared" si="14"/>
        <v>4238.9214629212956</v>
      </c>
      <c r="Q60" s="71"/>
    </row>
    <row r="61" spans="1:22" x14ac:dyDescent="0.2">
      <c r="A61" s="234" t="s">
        <v>211</v>
      </c>
      <c r="B61" s="191">
        <f>IF(('Data Property 3'!C161-$B$32)&gt;16400,0,$B$66+$B$67)</f>
        <v>2625</v>
      </c>
      <c r="C61" s="191">
        <f>IF(('Data Property 3'!D161-$B$32)&gt;16400,0,$B$66+$B$67)</f>
        <v>2625</v>
      </c>
      <c r="D61" s="191">
        <f>IF(('Data Property 3'!E161-$B$32)&gt;16400,0,$B$66+$B$67)</f>
        <v>2625</v>
      </c>
      <c r="E61" s="191">
        <f>IF(('Data Property 3'!F161-$B$32)&gt;16400,0,$B$66+$B$67)</f>
        <v>2625</v>
      </c>
      <c r="F61" s="191">
        <f>IF(('Data Property 3'!G161-$B$32)&gt;16400,0,$B$66+$B$67)</f>
        <v>2625</v>
      </c>
      <c r="G61" s="191">
        <f>IF(('Data Property 3'!H161-$B$32)&gt;16400,0,$B$66+$B$67)</f>
        <v>2625</v>
      </c>
      <c r="H61" s="191">
        <f>IF(('Data Property 3'!I161-$B$32)&gt;16400,0,$B$66+$B$67)</f>
        <v>2625</v>
      </c>
      <c r="I61" s="191">
        <f>IF(('Data Property 3'!J161-$B$32)&gt;16400,0,$B$66+$B$67)</f>
        <v>2625</v>
      </c>
      <c r="J61" s="191">
        <f>IF(('Data Property 3'!K161-$B$32)&gt;16400,0,$B$66+$B$67)</f>
        <v>2625</v>
      </c>
      <c r="K61" s="191">
        <f>IF(('Data Property 3'!L161-$B$32)&gt;16400,0,$B$66+$B$67)</f>
        <v>2625</v>
      </c>
      <c r="L61" s="191">
        <f>IF(('Data Property 3'!M161-$B$32)&gt;16400,0,$B$66+$B$67)</f>
        <v>2625</v>
      </c>
      <c r="M61" s="191">
        <f>IF(('Data Property 3'!N161-$B$32)&gt;16400,0,$B$66+$B$67)</f>
        <v>2625</v>
      </c>
      <c r="N61" s="191">
        <f>IF(('Data Property 3'!O161-$B$32)&gt;16400,0,$B$66+$B$67)</f>
        <v>2625</v>
      </c>
      <c r="O61" s="191">
        <f>IF(('Data Property 3'!P161-$B$32)&gt;16400,0,$B$66+$B$67)</f>
        <v>2625</v>
      </c>
      <c r="P61" s="235">
        <f>IF(('Data Property 3'!Q161-$B$32)&gt;16400,0,$B$66+$B$67)</f>
        <v>2625</v>
      </c>
      <c r="Q61" s="71"/>
    </row>
    <row r="62" spans="1:22" x14ac:dyDescent="0.2">
      <c r="A62" s="234" t="s">
        <v>225</v>
      </c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235"/>
      <c r="Q62" s="71"/>
    </row>
    <row r="63" spans="1:22" ht="13.5" thickBot="1" x14ac:dyDescent="0.25">
      <c r="A63" s="236" t="s">
        <v>239</v>
      </c>
      <c r="B63" s="237">
        <v>50</v>
      </c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8"/>
      <c r="Q63" s="198"/>
    </row>
    <row r="64" spans="1:22" hidden="1" x14ac:dyDescent="0.2">
      <c r="A64" s="199" t="s">
        <v>123</v>
      </c>
      <c r="B64" s="60">
        <v>52.25</v>
      </c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</row>
    <row r="65" spans="2:2" hidden="1" x14ac:dyDescent="0.2"/>
    <row r="66" spans="2:2" hidden="1" x14ac:dyDescent="0.2">
      <c r="B66" s="46">
        <f>IF(B32&gt;'Tax Table'!F2,('Input Property 3'!B3*'Input Property 3'!B34)*0.025,0)</f>
        <v>2625</v>
      </c>
    </row>
    <row r="67" spans="2:2" hidden="1" x14ac:dyDescent="0.2">
      <c r="B67" s="46" t="b">
        <f>IF('Input Property 3'!B32&gt;'Tax Table'!F1,IF('Input Property 3'!B32&lt;'Tax Table'!F2,('Input Property 3'!B3*'Input Property 3'!B34)*0.04),0)</f>
        <v>0</v>
      </c>
    </row>
  </sheetData>
  <mergeCells count="3">
    <mergeCell ref="E16:F16"/>
    <mergeCell ref="D17:E17"/>
    <mergeCell ref="I17:J17"/>
  </mergeCells>
  <dataValidations count="3">
    <dataValidation type="list" allowBlank="1" showInputMessage="1" showErrorMessage="1" sqref="B2" xr:uid="{00000000-0002-0000-0400-000000000000}">
      <formula1>$Y$3:$Y$10</formula1>
    </dataValidation>
    <dataValidation type="list" showInputMessage="1" showErrorMessage="1" sqref="G32" xr:uid="{00000000-0002-0000-0400-000001000000}">
      <formula1>$Y$11:$Y$16</formula1>
    </dataValidation>
    <dataValidation type="list" showInputMessage="1" showErrorMessage="1" sqref="G18:G31" xr:uid="{00000000-0002-0000-0400-000002000000}">
      <formula1>$W$3:$W$7</formula1>
    </dataValidation>
  </dataValidations>
  <pageMargins left="0.75" right="0.75" top="1" bottom="1" header="0.5" footer="0.5"/>
  <pageSetup paperSize="9" scale="70" orientation="landscape" horizontalDpi="300" verticalDpi="300" r:id="rId1"/>
  <headerFooter alignWithMargins="0"/>
  <rowBreaks count="1" manualBreakCount="1">
    <brk id="63" max="16383" man="1"/>
  </rowBreaks>
  <colBreaks count="1" manualBreakCount="1">
    <brk id="16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37"/>
  <sheetViews>
    <sheetView topLeftCell="A216" zoomScale="80" zoomScaleNormal="80" workbookViewId="0">
      <selection activeCell="H216" sqref="H216"/>
    </sheetView>
  </sheetViews>
  <sheetFormatPr defaultColWidth="9.140625" defaultRowHeight="12.75" outlineLevelRow="1" x14ac:dyDescent="0.2"/>
  <cols>
    <col min="1" max="1" width="23.85546875" style="46" customWidth="1"/>
    <col min="2" max="2" width="13.85546875" style="46" customWidth="1"/>
    <col min="3" max="3" width="12.140625" style="341" bestFit="1" customWidth="1"/>
    <col min="4" max="17" width="12.140625" style="46" bestFit="1" customWidth="1"/>
    <col min="18" max="16384" width="9.140625" style="46"/>
  </cols>
  <sheetData>
    <row r="1" spans="1:17" x14ac:dyDescent="0.2">
      <c r="A1" s="76" t="s">
        <v>248</v>
      </c>
      <c r="B1" s="76"/>
      <c r="C1" s="282">
        <v>1</v>
      </c>
      <c r="D1" s="258">
        <v>2</v>
      </c>
      <c r="E1" s="258">
        <v>3</v>
      </c>
      <c r="F1" s="258">
        <v>4</v>
      </c>
      <c r="G1" s="258">
        <v>5</v>
      </c>
      <c r="H1" s="258">
        <v>6</v>
      </c>
      <c r="I1" s="258">
        <v>7</v>
      </c>
      <c r="J1" s="258">
        <v>8</v>
      </c>
      <c r="K1" s="258">
        <v>9</v>
      </c>
      <c r="L1" s="258">
        <v>10</v>
      </c>
      <c r="M1" s="258">
        <v>11</v>
      </c>
      <c r="N1" s="258">
        <v>12</v>
      </c>
      <c r="O1" s="258">
        <v>13</v>
      </c>
      <c r="P1" s="258">
        <v>14</v>
      </c>
      <c r="Q1" s="256">
        <v>15</v>
      </c>
    </row>
    <row r="2" spans="1:17" ht="15.75" x14ac:dyDescent="0.25">
      <c r="A2" s="120" t="s">
        <v>247</v>
      </c>
      <c r="B2" s="120"/>
      <c r="C2" s="283">
        <f>'Data Property 3'!C161</f>
        <v>43281</v>
      </c>
      <c r="D2" s="259">
        <f>'Data Property 3'!D161</f>
        <v>43646</v>
      </c>
      <c r="E2" s="259">
        <f>'Data Property 3'!E161</f>
        <v>44012</v>
      </c>
      <c r="F2" s="259">
        <f>'Data Property 3'!F161</f>
        <v>44377</v>
      </c>
      <c r="G2" s="259">
        <f>'Data Property 3'!G161</f>
        <v>44742</v>
      </c>
      <c r="H2" s="259">
        <f>'Data Property 3'!H161</f>
        <v>45107</v>
      </c>
      <c r="I2" s="259">
        <f>'Data Property 3'!I161</f>
        <v>45473</v>
      </c>
      <c r="J2" s="259">
        <f>'Data Property 3'!J161</f>
        <v>45838</v>
      </c>
      <c r="K2" s="259">
        <f>'Data Property 3'!K161</f>
        <v>46203</v>
      </c>
      <c r="L2" s="259">
        <f>'Data Property 3'!L161</f>
        <v>46568</v>
      </c>
      <c r="M2" s="259">
        <f>'Data Property 3'!M161</f>
        <v>46934</v>
      </c>
      <c r="N2" s="259">
        <f>'Data Property 3'!N161</f>
        <v>47299</v>
      </c>
      <c r="O2" s="259">
        <f>'Data Property 3'!O161</f>
        <v>47664</v>
      </c>
      <c r="P2" s="259">
        <f>'Data Property 3'!P161</f>
        <v>48029</v>
      </c>
      <c r="Q2" s="257">
        <f>'Data Property 3'!Q161</f>
        <v>48395</v>
      </c>
    </row>
    <row r="3" spans="1:17" x14ac:dyDescent="0.2">
      <c r="A3" s="73" t="s">
        <v>120</v>
      </c>
      <c r="B3" s="342"/>
      <c r="C3" s="28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</row>
    <row r="4" spans="1:17" x14ac:dyDescent="0.2">
      <c r="A4" s="83" t="str">
        <f>'Data Property 3'!$A$167</f>
        <v>Interest Loan 1</v>
      </c>
      <c r="B4" s="60"/>
      <c r="C4" s="285">
        <f>-'Data Property 3'!C167</f>
        <v>-6735.5161643835618</v>
      </c>
      <c r="D4" s="84">
        <f>-'Data Property 3'!D167</f>
        <v>-14129.1</v>
      </c>
      <c r="E4" s="84">
        <f>-'Data Property 3'!E167</f>
        <v>-14167.809863013701</v>
      </c>
      <c r="F4" s="84">
        <f>-'Data Property 3'!F167</f>
        <v>-14129.1</v>
      </c>
      <c r="G4" s="84">
        <f>-'Data Property 3'!G167</f>
        <v>-14129.1</v>
      </c>
      <c r="H4" s="84">
        <f>-'Data Property 3'!H167</f>
        <v>-14129.1</v>
      </c>
      <c r="I4" s="84">
        <f>-'Data Property 3'!I167</f>
        <v>-14167.809863013701</v>
      </c>
      <c r="J4" s="84">
        <f>-'Data Property 3'!J167</f>
        <v>-14129.1</v>
      </c>
      <c r="K4" s="84">
        <f>-'Data Property 3'!K167</f>
        <v>-14129.1</v>
      </c>
      <c r="L4" s="84">
        <f>-'Data Property 3'!L167</f>
        <v>-14129.1</v>
      </c>
      <c r="M4" s="84">
        <f>-'Data Property 3'!M167</f>
        <v>-14167.809863013701</v>
      </c>
      <c r="N4" s="84">
        <f>-'Data Property 3'!N167</f>
        <v>-14129.1</v>
      </c>
      <c r="O4" s="84">
        <f>-'Data Property 3'!O167</f>
        <v>-14129.1</v>
      </c>
      <c r="P4" s="84">
        <f>-'Data Property 3'!P167</f>
        <v>-14129.1</v>
      </c>
      <c r="Q4" s="84">
        <f>-'Data Property 3'!Q167</f>
        <v>-14167.809863013701</v>
      </c>
    </row>
    <row r="5" spans="1:17" x14ac:dyDescent="0.2">
      <c r="A5" s="85" t="str">
        <f>'Data Property 3'!$A$168</f>
        <v>Interest Loan 2</v>
      </c>
      <c r="B5" s="60"/>
      <c r="C5" s="285">
        <f>-'Data Property 3'!C168</f>
        <v>-2831.8965517241381</v>
      </c>
      <c r="D5" s="84">
        <f>-'Data Property 3'!D168</f>
        <v>-2831.8965517241381</v>
      </c>
      <c r="E5" s="84">
        <f>-'Data Property 3'!E168</f>
        <v>-2831.8965517241381</v>
      </c>
      <c r="F5" s="84">
        <f>-'Data Property 3'!F168</f>
        <v>-2831.8965517241381</v>
      </c>
      <c r="G5" s="84">
        <f>-'Data Property 3'!G168</f>
        <v>-2831.8965517241381</v>
      </c>
      <c r="H5" s="84">
        <f>-'Data Property 3'!H168</f>
        <v>-2831.8965517241381</v>
      </c>
      <c r="I5" s="84">
        <f>-'Data Property 3'!I168</f>
        <v>-2831.8965517241381</v>
      </c>
      <c r="J5" s="84">
        <f>-'Data Property 3'!J168</f>
        <v>-2831.8965517241381</v>
      </c>
      <c r="K5" s="84">
        <f>-'Data Property 3'!K168</f>
        <v>-2831.8965517241381</v>
      </c>
      <c r="L5" s="84">
        <f>-'Data Property 3'!L168</f>
        <v>-2831.8965517241381</v>
      </c>
      <c r="M5" s="84">
        <f>-'Data Property 3'!M168</f>
        <v>-2831.8965517241381</v>
      </c>
      <c r="N5" s="84">
        <f>-'Data Property 3'!N168</f>
        <v>-2831.8965517241381</v>
      </c>
      <c r="O5" s="84">
        <f>-'Data Property 3'!O168</f>
        <v>-2831.8965517241381</v>
      </c>
      <c r="P5" s="84">
        <f>-'Data Property 3'!P168</f>
        <v>-2831.8965517241381</v>
      </c>
      <c r="Q5" s="84">
        <f>-'Data Property 3'!Q168</f>
        <v>-2831.8965517241381</v>
      </c>
    </row>
    <row r="6" spans="1:17" hidden="1" outlineLevel="1" x14ac:dyDescent="0.2">
      <c r="A6" s="85" t="str">
        <f>'Data Property 3'!$A$169</f>
        <v>Property Management</v>
      </c>
      <c r="B6" s="60"/>
      <c r="C6" s="285">
        <f>-'Data Property 3'!C169</f>
        <v>-592</v>
      </c>
      <c r="D6" s="84">
        <f>-'Data Property 3'!D169</f>
        <v>-1349.3493000000001</v>
      </c>
      <c r="E6" s="84">
        <f>-'Data Property 3'!E169</f>
        <v>-1405.9681503999998</v>
      </c>
      <c r="F6" s="84">
        <f>-'Data Property 3'!F169</f>
        <v>-1456.6509056852999</v>
      </c>
      <c r="G6" s="84">
        <f>-'Data Property 3'!G169</f>
        <v>-1513.4602910070264</v>
      </c>
      <c r="H6" s="84">
        <f>-'Data Property 3'!H169</f>
        <v>-1572.4852423563002</v>
      </c>
      <c r="I6" s="84">
        <f>-'Data Property 3'!I169</f>
        <v>-1638.4669023261679</v>
      </c>
      <c r="J6" s="84">
        <f>-'Data Property 3'!J169</f>
        <v>-1697.5308413137154</v>
      </c>
      <c r="K6" s="84">
        <f>-'Data Property 3'!K169</f>
        <v>-1763.7345441249499</v>
      </c>
      <c r="L6" s="84">
        <f>-'Data Property 3'!L169</f>
        <v>-1832.5201913458229</v>
      </c>
      <c r="M6" s="84">
        <f>-'Data Property 3'!M169</f>
        <v>-1909.4129474089034</v>
      </c>
      <c r="N6" s="84">
        <f>-'Data Property 3'!N169</f>
        <v>-1978.2440294818341</v>
      </c>
      <c r="O6" s="84">
        <f>-'Data Property 3'!O169</f>
        <v>-2055.3955466316256</v>
      </c>
      <c r="P6" s="84">
        <f>-'Data Property 3'!P169</f>
        <v>-2135.5559729502588</v>
      </c>
      <c r="Q6" s="84">
        <f>-'Data Property 3'!Q169</f>
        <v>-2225.1641449434533</v>
      </c>
    </row>
    <row r="7" spans="1:17" hidden="1" outlineLevel="1" x14ac:dyDescent="0.2">
      <c r="A7" s="85" t="str">
        <f>'Data Property 3'!$A$170</f>
        <v>Letting Fee</v>
      </c>
      <c r="B7" s="60"/>
      <c r="C7" s="285">
        <f>-'Data Property 3'!C170</f>
        <v>-370</v>
      </c>
      <c r="D7" s="84">
        <f>-'Data Property 3'!D170</f>
        <v>-384.42999999999995</v>
      </c>
      <c r="E7" s="84">
        <f>-'Data Property 3'!E170</f>
        <v>-399.4227699999999</v>
      </c>
      <c r="F7" s="84">
        <f>-'Data Property 3'!F170</f>
        <v>-415.00025802999988</v>
      </c>
      <c r="G7" s="84">
        <f>-'Data Property 3'!G170</f>
        <v>-431.18526809316984</v>
      </c>
      <c r="H7" s="84">
        <f>-'Data Property 3'!H170</f>
        <v>-448.00149354880341</v>
      </c>
      <c r="I7" s="84">
        <f>-'Data Property 3'!I170</f>
        <v>-465.47355179720671</v>
      </c>
      <c r="J7" s="84">
        <f>-'Data Property 3'!J170</f>
        <v>-483.62702031729776</v>
      </c>
      <c r="K7" s="84">
        <f>-'Data Property 3'!K170</f>
        <v>-502.48847410967232</v>
      </c>
      <c r="L7" s="84">
        <f>-'Data Property 3'!L170</f>
        <v>-522.08552459994951</v>
      </c>
      <c r="M7" s="84">
        <f>-'Data Property 3'!M170</f>
        <v>-542.4468600593475</v>
      </c>
      <c r="N7" s="84">
        <f>-'Data Property 3'!N170</f>
        <v>-563.60228760166206</v>
      </c>
      <c r="O7" s="84">
        <f>-'Data Property 3'!O170</f>
        <v>-585.58277681812683</v>
      </c>
      <c r="P7" s="84">
        <f>-'Data Property 3'!P170</f>
        <v>-608.42050511403374</v>
      </c>
      <c r="Q7" s="84">
        <f>-'Data Property 3'!Q170</f>
        <v>-632.14890481348107</v>
      </c>
    </row>
    <row r="8" spans="1:17" hidden="1" outlineLevel="1" x14ac:dyDescent="0.2">
      <c r="A8" s="85" t="str">
        <f>'Data Property 3'!$A$171</f>
        <v>Insurance</v>
      </c>
      <c r="B8" s="60"/>
      <c r="C8" s="285">
        <f>-'Data Property 3'!C171</f>
        <v>-572.05479452054794</v>
      </c>
      <c r="D8" s="84">
        <f>-'Data Property 3'!D171</f>
        <v>-1230</v>
      </c>
      <c r="E8" s="84">
        <f>-'Data Property 3'!E171</f>
        <v>-1260.75</v>
      </c>
      <c r="F8" s="84">
        <f>-'Data Property 3'!F171</f>
        <v>-1292.26875</v>
      </c>
      <c r="G8" s="84">
        <f>-'Data Property 3'!G171</f>
        <v>-1324.5754687499998</v>
      </c>
      <c r="H8" s="84">
        <f>-'Data Property 3'!H171</f>
        <v>-1357.6898554687498</v>
      </c>
      <c r="I8" s="84">
        <f>-'Data Property 3'!I171</f>
        <v>-1391.6321018554684</v>
      </c>
      <c r="J8" s="84">
        <f>-'Data Property 3'!J171</f>
        <v>-1426.422904401855</v>
      </c>
      <c r="K8" s="84">
        <f>-'Data Property 3'!K171</f>
        <v>-1462.0834770119013</v>
      </c>
      <c r="L8" s="84">
        <f>-'Data Property 3'!L171</f>
        <v>-1498.6355639371986</v>
      </c>
      <c r="M8" s="84">
        <f>-'Data Property 3'!M171</f>
        <v>-1536.1014530356285</v>
      </c>
      <c r="N8" s="84">
        <f>-'Data Property 3'!N171</f>
        <v>-1574.5039893615192</v>
      </c>
      <c r="O8" s="84">
        <f>-'Data Property 3'!O171</f>
        <v>-1613.8665890955569</v>
      </c>
      <c r="P8" s="84">
        <f>-'Data Property 3'!P171</f>
        <v>-1654.2132538229457</v>
      </c>
      <c r="Q8" s="84">
        <f>-'Data Property 3'!Q171</f>
        <v>-1695.5685851685191</v>
      </c>
    </row>
    <row r="9" spans="1:17" hidden="1" outlineLevel="1" x14ac:dyDescent="0.2">
      <c r="A9" s="85" t="str">
        <f>'Data Property 3'!$A$172</f>
        <v>Maintenance</v>
      </c>
      <c r="B9" s="60"/>
      <c r="C9" s="285">
        <f>-'Data Property 3'!C172</f>
        <v>-476.71232876712327</v>
      </c>
      <c r="D9" s="84">
        <f>-'Data Property 3'!D172</f>
        <v>-1025</v>
      </c>
      <c r="E9" s="84">
        <f>-'Data Property 3'!E172</f>
        <v>-1050.625</v>
      </c>
      <c r="F9" s="84">
        <f>-'Data Property 3'!F172</f>
        <v>-1076.890625</v>
      </c>
      <c r="G9" s="84">
        <f>-'Data Property 3'!G172</f>
        <v>-1103.8128906249999</v>
      </c>
      <c r="H9" s="84">
        <f>-'Data Property 3'!H172</f>
        <v>-1131.4082128906248</v>
      </c>
      <c r="I9" s="84">
        <f>-'Data Property 3'!I172</f>
        <v>-1159.6934182128903</v>
      </c>
      <c r="J9" s="84">
        <f>-'Data Property 3'!J172</f>
        <v>-1188.6857536682123</v>
      </c>
      <c r="K9" s="84">
        <f>-'Data Property 3'!K172</f>
        <v>-1218.4028975099175</v>
      </c>
      <c r="L9" s="84">
        <f>-'Data Property 3'!L172</f>
        <v>-1248.8629699476653</v>
      </c>
      <c r="M9" s="84">
        <f>-'Data Property 3'!M172</f>
        <v>-1280.0845441963568</v>
      </c>
      <c r="N9" s="84">
        <f>-'Data Property 3'!N172</f>
        <v>-1312.0866578012656</v>
      </c>
      <c r="O9" s="84">
        <f>-'Data Property 3'!O172</f>
        <v>-1344.8888242462972</v>
      </c>
      <c r="P9" s="84">
        <f>-'Data Property 3'!P172</f>
        <v>-1378.5110448524545</v>
      </c>
      <c r="Q9" s="84">
        <f>-'Data Property 3'!Q172</f>
        <v>-1412.9738209737657</v>
      </c>
    </row>
    <row r="10" spans="1:17" hidden="1" outlineLevel="1" x14ac:dyDescent="0.2">
      <c r="A10" s="85" t="str">
        <f>'Data Property 3'!$A$173</f>
        <v>Strata</v>
      </c>
      <c r="B10" s="60"/>
      <c r="C10" s="285">
        <f>-'Data Property 3'!C173</f>
        <v>0</v>
      </c>
      <c r="D10" s="84">
        <f>-'Data Property 3'!D173</f>
        <v>0</v>
      </c>
      <c r="E10" s="84">
        <f>-'Data Property 3'!E173</f>
        <v>0</v>
      </c>
      <c r="F10" s="84">
        <f>-'Data Property 3'!F173</f>
        <v>0</v>
      </c>
      <c r="G10" s="84">
        <f>-'Data Property 3'!G173</f>
        <v>0</v>
      </c>
      <c r="H10" s="84">
        <f>-'Data Property 3'!H173</f>
        <v>0</v>
      </c>
      <c r="I10" s="84">
        <f>-'Data Property 3'!I173</f>
        <v>0</v>
      </c>
      <c r="J10" s="84">
        <f>-'Data Property 3'!J173</f>
        <v>0</v>
      </c>
      <c r="K10" s="84">
        <f>-'Data Property 3'!K173</f>
        <v>0</v>
      </c>
      <c r="L10" s="84">
        <f>-'Data Property 3'!L173</f>
        <v>0</v>
      </c>
      <c r="M10" s="84">
        <f>-'Data Property 3'!M173</f>
        <v>0</v>
      </c>
      <c r="N10" s="84">
        <f>-'Data Property 3'!N173</f>
        <v>0</v>
      </c>
      <c r="O10" s="84">
        <f>-'Data Property 3'!O173</f>
        <v>0</v>
      </c>
      <c r="P10" s="84">
        <f>-'Data Property 3'!P173</f>
        <v>0</v>
      </c>
      <c r="Q10" s="84">
        <f>-'Data Property 3'!Q173</f>
        <v>0</v>
      </c>
    </row>
    <row r="11" spans="1:17" hidden="1" outlineLevel="1" x14ac:dyDescent="0.2">
      <c r="A11" s="85" t="str">
        <f>'Data Property 3'!$A$174</f>
        <v>Water Charges</v>
      </c>
      <c r="B11" s="60"/>
      <c r="C11" s="285">
        <f>-'Data Property 3'!C174</f>
        <v>0</v>
      </c>
      <c r="D11" s="84">
        <f>-'Data Property 3'!D174</f>
        <v>0</v>
      </c>
      <c r="E11" s="84">
        <f>-'Data Property 3'!E174</f>
        <v>0</v>
      </c>
      <c r="F11" s="84">
        <f>-'Data Property 3'!F174</f>
        <v>0</v>
      </c>
      <c r="G11" s="84">
        <f>-'Data Property 3'!G174</f>
        <v>0</v>
      </c>
      <c r="H11" s="84">
        <f>-'Data Property 3'!H174</f>
        <v>0</v>
      </c>
      <c r="I11" s="84">
        <f>-'Data Property 3'!I174</f>
        <v>0</v>
      </c>
      <c r="J11" s="84">
        <f>-'Data Property 3'!J174</f>
        <v>0</v>
      </c>
      <c r="K11" s="84">
        <f>-'Data Property 3'!K174</f>
        <v>0</v>
      </c>
      <c r="L11" s="84">
        <f>-'Data Property 3'!L174</f>
        <v>0</v>
      </c>
      <c r="M11" s="84">
        <f>-'Data Property 3'!M174</f>
        <v>0</v>
      </c>
      <c r="N11" s="84">
        <f>-'Data Property 3'!N174</f>
        <v>0</v>
      </c>
      <c r="O11" s="84">
        <f>-'Data Property 3'!O174</f>
        <v>0</v>
      </c>
      <c r="P11" s="84">
        <f>-'Data Property 3'!P174</f>
        <v>0</v>
      </c>
      <c r="Q11" s="84">
        <f>-'Data Property 3'!Q174</f>
        <v>0</v>
      </c>
    </row>
    <row r="12" spans="1:17" hidden="1" outlineLevel="1" x14ac:dyDescent="0.2">
      <c r="A12" s="85" t="str">
        <f>'Data Property 3'!$A$175</f>
        <v>Cleaning</v>
      </c>
      <c r="B12" s="60"/>
      <c r="C12" s="285">
        <f>-'Data Property 3'!C175</f>
        <v>0</v>
      </c>
      <c r="D12" s="84">
        <f>-'Data Property 3'!D175</f>
        <v>0</v>
      </c>
      <c r="E12" s="84">
        <f>-'Data Property 3'!E175</f>
        <v>0</v>
      </c>
      <c r="F12" s="84">
        <f>-'Data Property 3'!F175</f>
        <v>0</v>
      </c>
      <c r="G12" s="84">
        <f>-'Data Property 3'!G175</f>
        <v>0</v>
      </c>
      <c r="H12" s="84">
        <f>-'Data Property 3'!H175</f>
        <v>0</v>
      </c>
      <c r="I12" s="84">
        <f>-'Data Property 3'!I175</f>
        <v>0</v>
      </c>
      <c r="J12" s="84">
        <f>-'Data Property 3'!J175</f>
        <v>0</v>
      </c>
      <c r="K12" s="84">
        <f>-'Data Property 3'!K175</f>
        <v>0</v>
      </c>
      <c r="L12" s="84">
        <f>-'Data Property 3'!L175</f>
        <v>0</v>
      </c>
      <c r="M12" s="84">
        <f>-'Data Property 3'!M175</f>
        <v>0</v>
      </c>
      <c r="N12" s="84">
        <f>-'Data Property 3'!N175</f>
        <v>0</v>
      </c>
      <c r="O12" s="84">
        <f>-'Data Property 3'!O175</f>
        <v>0</v>
      </c>
      <c r="P12" s="84">
        <f>-'Data Property 3'!P175</f>
        <v>0</v>
      </c>
      <c r="Q12" s="84">
        <f>-'Data Property 3'!Q175</f>
        <v>0</v>
      </c>
    </row>
    <row r="13" spans="1:17" hidden="1" outlineLevel="1" x14ac:dyDescent="0.2">
      <c r="A13" s="85" t="str">
        <f>'Data Property 3'!$A$176</f>
        <v>Council Rates</v>
      </c>
      <c r="B13" s="60"/>
      <c r="C13" s="285">
        <f>-'Data Property 3'!C176</f>
        <v>-572.05479452054794</v>
      </c>
      <c r="D13" s="84">
        <f>-'Data Property 3'!D176</f>
        <v>-1230</v>
      </c>
      <c r="E13" s="84">
        <f>-'Data Property 3'!E176</f>
        <v>-1260.75</v>
      </c>
      <c r="F13" s="84">
        <f>-'Data Property 3'!F176</f>
        <v>-1292.26875</v>
      </c>
      <c r="G13" s="84">
        <f>-'Data Property 3'!G176</f>
        <v>-1324.57546875</v>
      </c>
      <c r="H13" s="84">
        <f>-'Data Property 3'!H176</f>
        <v>-1357.68985546875</v>
      </c>
      <c r="I13" s="84">
        <f>-'Data Property 3'!I176</f>
        <v>-1391.6321018554688</v>
      </c>
      <c r="J13" s="84">
        <f>-'Data Property 3'!J176</f>
        <v>-1426.4229044018555</v>
      </c>
      <c r="K13" s="84">
        <f>-'Data Property 3'!K176</f>
        <v>-1462.0834770119018</v>
      </c>
      <c r="L13" s="84">
        <f>-'Data Property 3'!L176</f>
        <v>-1498.6355639371993</v>
      </c>
      <c r="M13" s="84">
        <f>-'Data Property 3'!M176</f>
        <v>-1536.1014530356292</v>
      </c>
      <c r="N13" s="84">
        <f>-'Data Property 3'!N176</f>
        <v>-1574.5039893615199</v>
      </c>
      <c r="O13" s="84">
        <f>-'Data Property 3'!O176</f>
        <v>-1613.8665890955579</v>
      </c>
      <c r="P13" s="84">
        <f>-'Data Property 3'!P176</f>
        <v>-1654.2132538229469</v>
      </c>
      <c r="Q13" s="84">
        <f>-'Data Property 3'!Q176</f>
        <v>-1695.5685851685205</v>
      </c>
    </row>
    <row r="14" spans="1:17" hidden="1" outlineLevel="1" x14ac:dyDescent="0.2">
      <c r="A14" s="85" t="str">
        <f>'Data Property 3'!$A$177</f>
        <v>Gardening / Mowing</v>
      </c>
      <c r="B14" s="60"/>
      <c r="C14" s="285">
        <f>-'Data Property 3'!C177</f>
        <v>0</v>
      </c>
      <c r="D14" s="84">
        <f>-'Data Property 3'!D177</f>
        <v>0</v>
      </c>
      <c r="E14" s="84">
        <f>-'Data Property 3'!E177</f>
        <v>0</v>
      </c>
      <c r="F14" s="84">
        <f>-'Data Property 3'!F177</f>
        <v>0</v>
      </c>
      <c r="G14" s="84">
        <f>-'Data Property 3'!G177</f>
        <v>0</v>
      </c>
      <c r="H14" s="84">
        <f>-'Data Property 3'!H177</f>
        <v>0</v>
      </c>
      <c r="I14" s="84">
        <f>-'Data Property 3'!I177</f>
        <v>0</v>
      </c>
      <c r="J14" s="84">
        <f>-'Data Property 3'!J177</f>
        <v>0</v>
      </c>
      <c r="K14" s="84">
        <f>-'Data Property 3'!K177</f>
        <v>0</v>
      </c>
      <c r="L14" s="84">
        <f>-'Data Property 3'!L177</f>
        <v>0</v>
      </c>
      <c r="M14" s="84">
        <f>-'Data Property 3'!M177</f>
        <v>0</v>
      </c>
      <c r="N14" s="84">
        <f>-'Data Property 3'!N177</f>
        <v>0</v>
      </c>
      <c r="O14" s="84">
        <f>-'Data Property 3'!O177</f>
        <v>0</v>
      </c>
      <c r="P14" s="84">
        <f>-'Data Property 3'!P177</f>
        <v>0</v>
      </c>
      <c r="Q14" s="84">
        <f>-'Data Property 3'!Q177</f>
        <v>0</v>
      </c>
    </row>
    <row r="15" spans="1:17" hidden="1" outlineLevel="1" x14ac:dyDescent="0.2">
      <c r="A15" s="85" t="str">
        <f>'Data Property 3'!$A$178</f>
        <v>Land Tax</v>
      </c>
      <c r="B15" s="60"/>
      <c r="C15" s="285">
        <f>-'Data Property 3'!C178</f>
        <v>0</v>
      </c>
      <c r="D15" s="84">
        <f>-'Data Property 3'!D178</f>
        <v>0</v>
      </c>
      <c r="E15" s="84">
        <f>-'Data Property 3'!E178</f>
        <v>0</v>
      </c>
      <c r="F15" s="84">
        <f>-'Data Property 3'!F178</f>
        <v>0</v>
      </c>
      <c r="G15" s="84">
        <f>-'Data Property 3'!G178</f>
        <v>0</v>
      </c>
      <c r="H15" s="84">
        <f>-'Data Property 3'!H178</f>
        <v>0</v>
      </c>
      <c r="I15" s="84">
        <f>-'Data Property 3'!I178</f>
        <v>0</v>
      </c>
      <c r="J15" s="84">
        <f>-'Data Property 3'!J178</f>
        <v>0</v>
      </c>
      <c r="K15" s="84">
        <f>-'Data Property 3'!K178</f>
        <v>0</v>
      </c>
      <c r="L15" s="84">
        <f>-'Data Property 3'!L178</f>
        <v>0</v>
      </c>
      <c r="M15" s="84">
        <f>-'Data Property 3'!M178</f>
        <v>0</v>
      </c>
      <c r="N15" s="84">
        <f>-'Data Property 3'!N178</f>
        <v>0</v>
      </c>
      <c r="O15" s="84">
        <f>-'Data Property 3'!O178</f>
        <v>0</v>
      </c>
      <c r="P15" s="84">
        <f>-'Data Property 3'!P178</f>
        <v>0</v>
      </c>
      <c r="Q15" s="84">
        <f>-'Data Property 3'!Q178</f>
        <v>0</v>
      </c>
    </row>
    <row r="16" spans="1:17" hidden="1" outlineLevel="1" x14ac:dyDescent="0.2">
      <c r="A16" s="85" t="str">
        <f>'Data Property 3'!$A$179</f>
        <v>Legal Expenses</v>
      </c>
      <c r="B16" s="60"/>
      <c r="C16" s="285">
        <f>-'Data Property 3'!C179</f>
        <v>0</v>
      </c>
      <c r="D16" s="84">
        <f>-'Data Property 3'!D179</f>
        <v>0</v>
      </c>
      <c r="E16" s="84">
        <f>-'Data Property 3'!E179</f>
        <v>0</v>
      </c>
      <c r="F16" s="84">
        <f>-'Data Property 3'!F179</f>
        <v>0</v>
      </c>
      <c r="G16" s="84">
        <f>-'Data Property 3'!G179</f>
        <v>0</v>
      </c>
      <c r="H16" s="84">
        <f>-'Data Property 3'!H179</f>
        <v>0</v>
      </c>
      <c r="I16" s="84">
        <f>-'Data Property 3'!I179</f>
        <v>0</v>
      </c>
      <c r="J16" s="84">
        <f>-'Data Property 3'!J179</f>
        <v>0</v>
      </c>
      <c r="K16" s="84">
        <f>-'Data Property 3'!K179</f>
        <v>0</v>
      </c>
      <c r="L16" s="84">
        <f>-'Data Property 3'!L179</f>
        <v>0</v>
      </c>
      <c r="M16" s="84">
        <f>-'Data Property 3'!M179</f>
        <v>0</v>
      </c>
      <c r="N16" s="84">
        <f>-'Data Property 3'!N179</f>
        <v>0</v>
      </c>
      <c r="O16" s="84">
        <f>-'Data Property 3'!O179</f>
        <v>0</v>
      </c>
      <c r="P16" s="84">
        <f>-'Data Property 3'!P179</f>
        <v>0</v>
      </c>
      <c r="Q16" s="84">
        <f>-'Data Property 3'!Q179</f>
        <v>0</v>
      </c>
    </row>
    <row r="17" spans="1:17" hidden="1" outlineLevel="1" x14ac:dyDescent="0.2">
      <c r="A17" s="85" t="str">
        <f>'Data Property 3'!$A$180</f>
        <v>Pest Control</v>
      </c>
      <c r="B17" s="60"/>
      <c r="C17" s="285">
        <f>-'Data Property 3'!C180</f>
        <v>0</v>
      </c>
      <c r="D17" s="84">
        <f>-'Data Property 3'!D180</f>
        <v>0</v>
      </c>
      <c r="E17" s="84">
        <f>-'Data Property 3'!E180</f>
        <v>0</v>
      </c>
      <c r="F17" s="84">
        <f>-'Data Property 3'!F180</f>
        <v>0</v>
      </c>
      <c r="G17" s="84">
        <f>-'Data Property 3'!G180</f>
        <v>0</v>
      </c>
      <c r="H17" s="84">
        <f>-'Data Property 3'!H180</f>
        <v>0</v>
      </c>
      <c r="I17" s="84">
        <f>-'Data Property 3'!I180</f>
        <v>0</v>
      </c>
      <c r="J17" s="84">
        <f>-'Data Property 3'!J180</f>
        <v>0</v>
      </c>
      <c r="K17" s="84">
        <f>-'Data Property 3'!K180</f>
        <v>0</v>
      </c>
      <c r="L17" s="84">
        <f>-'Data Property 3'!L180</f>
        <v>0</v>
      </c>
      <c r="M17" s="84">
        <f>-'Data Property 3'!M180</f>
        <v>0</v>
      </c>
      <c r="N17" s="84">
        <f>-'Data Property 3'!N180</f>
        <v>0</v>
      </c>
      <c r="O17" s="84">
        <f>-'Data Property 3'!O180</f>
        <v>0</v>
      </c>
      <c r="P17" s="84">
        <f>-'Data Property 3'!P180</f>
        <v>0</v>
      </c>
      <c r="Q17" s="84">
        <f>-'Data Property 3'!Q180</f>
        <v>0</v>
      </c>
    </row>
    <row r="18" spans="1:17" hidden="1" outlineLevel="1" x14ac:dyDescent="0.2">
      <c r="A18" s="85" t="str">
        <f>'Data Property 3'!$A$181</f>
        <v>Bookkeeping</v>
      </c>
      <c r="B18" s="60"/>
      <c r="C18" s="285">
        <f>-'Data Property 3'!C181</f>
        <v>0</v>
      </c>
      <c r="D18" s="84">
        <f>-'Data Property 3'!D181</f>
        <v>0</v>
      </c>
      <c r="E18" s="84">
        <f>-'Data Property 3'!E181</f>
        <v>0</v>
      </c>
      <c r="F18" s="84">
        <f>-'Data Property 3'!F181</f>
        <v>0</v>
      </c>
      <c r="G18" s="84">
        <f>-'Data Property 3'!G181</f>
        <v>0</v>
      </c>
      <c r="H18" s="84">
        <f>-'Data Property 3'!H181</f>
        <v>0</v>
      </c>
      <c r="I18" s="84">
        <f>-'Data Property 3'!I181</f>
        <v>0</v>
      </c>
      <c r="J18" s="84">
        <f>-'Data Property 3'!J181</f>
        <v>0</v>
      </c>
      <c r="K18" s="84">
        <f>-'Data Property 3'!K181</f>
        <v>0</v>
      </c>
      <c r="L18" s="84">
        <f>-'Data Property 3'!L181</f>
        <v>0</v>
      </c>
      <c r="M18" s="84">
        <f>-'Data Property 3'!M181</f>
        <v>0</v>
      </c>
      <c r="N18" s="84">
        <f>-'Data Property 3'!N181</f>
        <v>0</v>
      </c>
      <c r="O18" s="84">
        <f>-'Data Property 3'!O181</f>
        <v>0</v>
      </c>
      <c r="P18" s="84">
        <f>-'Data Property 3'!P181</f>
        <v>0</v>
      </c>
      <c r="Q18" s="84">
        <f>-'Data Property 3'!Q181</f>
        <v>0</v>
      </c>
    </row>
    <row r="19" spans="1:17" hidden="1" outlineLevel="1" x14ac:dyDescent="0.2">
      <c r="A19" s="85" t="str">
        <f>'Data Property 3'!$A$182</f>
        <v>Postage and Stationery</v>
      </c>
      <c r="B19" s="60"/>
      <c r="C19" s="285">
        <f>-'Data Property 3'!C182</f>
        <v>0</v>
      </c>
      <c r="D19" s="84">
        <f>-'Data Property 3'!D182</f>
        <v>0</v>
      </c>
      <c r="E19" s="84">
        <f>-'Data Property 3'!E182</f>
        <v>0</v>
      </c>
      <c r="F19" s="84">
        <f>-'Data Property 3'!F182</f>
        <v>0</v>
      </c>
      <c r="G19" s="84">
        <f>-'Data Property 3'!G182</f>
        <v>0</v>
      </c>
      <c r="H19" s="84">
        <f>-'Data Property 3'!H182</f>
        <v>0</v>
      </c>
      <c r="I19" s="84">
        <f>-'Data Property 3'!I182</f>
        <v>0</v>
      </c>
      <c r="J19" s="84">
        <f>-'Data Property 3'!J182</f>
        <v>0</v>
      </c>
      <c r="K19" s="84">
        <f>-'Data Property 3'!K182</f>
        <v>0</v>
      </c>
      <c r="L19" s="84">
        <f>-'Data Property 3'!L182</f>
        <v>0</v>
      </c>
      <c r="M19" s="84">
        <f>-'Data Property 3'!M182</f>
        <v>0</v>
      </c>
      <c r="N19" s="84">
        <f>-'Data Property 3'!N182</f>
        <v>0</v>
      </c>
      <c r="O19" s="84">
        <f>-'Data Property 3'!O182</f>
        <v>0</v>
      </c>
      <c r="P19" s="84">
        <f>-'Data Property 3'!P182</f>
        <v>0</v>
      </c>
      <c r="Q19" s="84">
        <f>-'Data Property 3'!Q182</f>
        <v>0</v>
      </c>
    </row>
    <row r="20" spans="1:17" hidden="1" outlineLevel="1" x14ac:dyDescent="0.2">
      <c r="A20" s="85" t="str">
        <f>'Data Property 3'!$A$183</f>
        <v>Tax Related Expenses</v>
      </c>
      <c r="B20" s="60"/>
      <c r="C20" s="285">
        <f>-'Data Property 3'!C183</f>
        <v>-273.99041095890408</v>
      </c>
      <c r="D20" s="84">
        <f>-'Data Property 3'!D183</f>
        <v>-589.11874999999998</v>
      </c>
      <c r="E20" s="84">
        <f>-'Data Property 3'!E183</f>
        <v>-603.84671874999992</v>
      </c>
      <c r="F20" s="84">
        <f>-'Data Property 3'!F183</f>
        <v>-618.94288671874995</v>
      </c>
      <c r="G20" s="84">
        <f>-'Data Property 3'!G183</f>
        <v>-634.41645888671871</v>
      </c>
      <c r="H20" s="84">
        <f>-'Data Property 3'!H183</f>
        <v>-650.27687035888664</v>
      </c>
      <c r="I20" s="84">
        <f>-'Data Property 3'!I183</f>
        <v>-666.53379211785875</v>
      </c>
      <c r="J20" s="84">
        <f>-'Data Property 3'!J183</f>
        <v>-683.19713692080518</v>
      </c>
      <c r="K20" s="84">
        <f>-'Data Property 3'!K183</f>
        <v>-700.27706534382526</v>
      </c>
      <c r="L20" s="84">
        <f>-'Data Property 3'!L183</f>
        <v>-717.7839919774209</v>
      </c>
      <c r="M20" s="84">
        <f>-'Data Property 3'!M183</f>
        <v>-735.72859177685643</v>
      </c>
      <c r="N20" s="84">
        <f>-'Data Property 3'!N183</f>
        <v>-754.12180657127783</v>
      </c>
      <c r="O20" s="84">
        <f>-'Data Property 3'!O183</f>
        <v>-772.97485173555981</v>
      </c>
      <c r="P20" s="84">
        <f>-'Data Property 3'!P183</f>
        <v>-792.29922302894886</v>
      </c>
      <c r="Q20" s="84">
        <f>-'Data Property 3'!Q183</f>
        <v>-812.10670360467259</v>
      </c>
    </row>
    <row r="21" spans="1:17" hidden="1" outlineLevel="1" x14ac:dyDescent="0.2">
      <c r="A21" s="85" t="str">
        <f>'Data Property 3'!$A$184</f>
        <v>Travel and Car Expenses</v>
      </c>
      <c r="B21" s="60"/>
      <c r="C21" s="285">
        <f>-'Data Property 3'!C184</f>
        <v>0</v>
      </c>
      <c r="D21" s="84">
        <f>-'Data Property 3'!D184</f>
        <v>0</v>
      </c>
      <c r="E21" s="84">
        <f>-'Data Property 3'!E184</f>
        <v>0</v>
      </c>
      <c r="F21" s="84">
        <f>-'Data Property 3'!F184</f>
        <v>0</v>
      </c>
      <c r="G21" s="84">
        <f>-'Data Property 3'!G184</f>
        <v>0</v>
      </c>
      <c r="H21" s="84">
        <f>-'Data Property 3'!H184</f>
        <v>0</v>
      </c>
      <c r="I21" s="84">
        <f>-'Data Property 3'!I184</f>
        <v>0</v>
      </c>
      <c r="J21" s="84">
        <f>-'Data Property 3'!J184</f>
        <v>0</v>
      </c>
      <c r="K21" s="84">
        <f>-'Data Property 3'!K184</f>
        <v>0</v>
      </c>
      <c r="L21" s="84">
        <f>-'Data Property 3'!L184</f>
        <v>0</v>
      </c>
      <c r="M21" s="84">
        <f>-'Data Property 3'!M184</f>
        <v>0</v>
      </c>
      <c r="N21" s="84">
        <f>-'Data Property 3'!N184</f>
        <v>0</v>
      </c>
      <c r="O21" s="84">
        <f>-'Data Property 3'!O184</f>
        <v>0</v>
      </c>
      <c r="P21" s="84">
        <f>-'Data Property 3'!P184</f>
        <v>0</v>
      </c>
      <c r="Q21" s="84">
        <f>-'Data Property 3'!Q184</f>
        <v>0</v>
      </c>
    </row>
    <row r="22" spans="1:17" hidden="1" outlineLevel="1" x14ac:dyDescent="0.2">
      <c r="A22" s="85" t="str">
        <f>'Data Property 3'!$A$185</f>
        <v>Once Off Expenses</v>
      </c>
      <c r="B22" s="60"/>
      <c r="C22" s="285">
        <f>-'Data Property 3'!C185</f>
        <v>-50</v>
      </c>
      <c r="D22" s="84">
        <f>-'Data Property 3'!D185</f>
        <v>0</v>
      </c>
      <c r="E22" s="84">
        <f>-'Data Property 3'!E185</f>
        <v>0</v>
      </c>
      <c r="F22" s="84">
        <f>-'Data Property 3'!F185</f>
        <v>0</v>
      </c>
      <c r="G22" s="84">
        <f>-'Data Property 3'!G185</f>
        <v>0</v>
      </c>
      <c r="H22" s="84">
        <f>-'Data Property 3'!H185</f>
        <v>0</v>
      </c>
      <c r="I22" s="84">
        <f>-'Data Property 3'!I185</f>
        <v>0</v>
      </c>
      <c r="J22" s="84">
        <f>-'Data Property 3'!J185</f>
        <v>0</v>
      </c>
      <c r="K22" s="84">
        <f>-'Data Property 3'!K185</f>
        <v>0</v>
      </c>
      <c r="L22" s="84">
        <f>-'Data Property 3'!L185</f>
        <v>0</v>
      </c>
      <c r="M22" s="84">
        <f>-'Data Property 3'!M185</f>
        <v>0</v>
      </c>
      <c r="N22" s="84">
        <f>-'Data Property 3'!N185</f>
        <v>0</v>
      </c>
      <c r="O22" s="84">
        <f>-'Data Property 3'!O185</f>
        <v>0</v>
      </c>
      <c r="P22" s="84">
        <f>-'Data Property 3'!P185</f>
        <v>0</v>
      </c>
      <c r="Q22" s="84">
        <f>-'Data Property 3'!Q185</f>
        <v>0</v>
      </c>
    </row>
    <row r="23" spans="1:17" collapsed="1" x14ac:dyDescent="0.2">
      <c r="A23" s="85" t="str">
        <f>'Data Property 3'!$A$186</f>
        <v>Total Property Expenses</v>
      </c>
      <c r="B23" s="60"/>
      <c r="C23" s="285">
        <f>-'Data Property 3'!C186</f>
        <v>-2906.8123287671237</v>
      </c>
      <c r="D23" s="84">
        <f>-'Data Property 3'!D186</f>
        <v>-5807.8980499999998</v>
      </c>
      <c r="E23" s="84">
        <f>-'Data Property 3'!E186</f>
        <v>-5981.3626391499993</v>
      </c>
      <c r="F23" s="84">
        <f>-'Data Property 3'!F186</f>
        <v>-6152.02217543405</v>
      </c>
      <c r="G23" s="84">
        <f>-'Data Property 3'!G186</f>
        <v>-6332.0258461119147</v>
      </c>
      <c r="H23" s="84">
        <f>-'Data Property 3'!H186</f>
        <v>-6517.5515300921143</v>
      </c>
      <c r="I23" s="84">
        <f>-'Data Property 3'!I186</f>
        <v>-6713.4318681650602</v>
      </c>
      <c r="J23" s="84">
        <f>-'Data Property 3'!J186</f>
        <v>-6905.8865610237417</v>
      </c>
      <c r="K23" s="84">
        <f>-'Data Property 3'!K186</f>
        <v>-7109.0699351121684</v>
      </c>
      <c r="L23" s="84">
        <f>-'Data Property 3'!L186</f>
        <v>-7318.5238057452561</v>
      </c>
      <c r="M23" s="84">
        <f>-'Data Property 3'!M186</f>
        <v>-7539.8758495127222</v>
      </c>
      <c r="N23" s="84">
        <f>-'Data Property 3'!N186</f>
        <v>-7757.0627601790784</v>
      </c>
      <c r="O23" s="84">
        <f>-'Data Property 3'!O186</f>
        <v>-7986.5751776227253</v>
      </c>
      <c r="P23" s="84">
        <f>-'Data Property 3'!P186</f>
        <v>-8223.213253591588</v>
      </c>
      <c r="Q23" s="84">
        <f>-'Data Property 3'!Q186</f>
        <v>-8473.5307446724128</v>
      </c>
    </row>
    <row r="24" spans="1:17" x14ac:dyDescent="0.2">
      <c r="A24" s="119"/>
      <c r="B24" s="82"/>
      <c r="C24" s="286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</row>
    <row r="25" spans="1:17" x14ac:dyDescent="0.2">
      <c r="A25" s="88" t="str">
        <f>'Data Property 3'!$A$187</f>
        <v>Total Costs</v>
      </c>
      <c r="B25" s="190"/>
      <c r="C25" s="287">
        <f>-'Data Property 3'!C187</f>
        <v>-12474.225044874824</v>
      </c>
      <c r="D25" s="89">
        <f>-'Data Property 3'!D187</f>
        <v>-22768.89460172414</v>
      </c>
      <c r="E25" s="89">
        <f>-'Data Property 3'!E187</f>
        <v>-22981.069053887837</v>
      </c>
      <c r="F25" s="89">
        <f>-'Data Property 3'!F187</f>
        <v>-23113.018727158189</v>
      </c>
      <c r="G25" s="89">
        <f>-'Data Property 3'!G187</f>
        <v>-23293.022397836052</v>
      </c>
      <c r="H25" s="89">
        <f>-'Data Property 3'!H187</f>
        <v>-23478.548081816254</v>
      </c>
      <c r="I25" s="89">
        <f>-'Data Property 3'!I187</f>
        <v>-23713.138282902899</v>
      </c>
      <c r="J25" s="89">
        <f>-'Data Property 3'!J187</f>
        <v>-23866.883112747881</v>
      </c>
      <c r="K25" s="89">
        <f>-'Data Property 3'!K187</f>
        <v>-24070.066486836306</v>
      </c>
      <c r="L25" s="89">
        <f>-'Data Property 3'!L187</f>
        <v>-24279.520357469395</v>
      </c>
      <c r="M25" s="89">
        <f>-'Data Property 3'!M187</f>
        <v>-24539.582264250559</v>
      </c>
      <c r="N25" s="89">
        <f>-'Data Property 3'!N187</f>
        <v>-24718.059311903216</v>
      </c>
      <c r="O25" s="89">
        <f>-'Data Property 3'!O187</f>
        <v>-24947.571729346862</v>
      </c>
      <c r="P25" s="89">
        <f>-'Data Property 3'!P187</f>
        <v>-25184.209805315724</v>
      </c>
      <c r="Q25" s="89">
        <f>-'Data Property 3'!Q187</f>
        <v>-25473.237159410251</v>
      </c>
    </row>
    <row r="26" spans="1:17" x14ac:dyDescent="0.2">
      <c r="A26" s="82"/>
      <c r="B26" s="82"/>
      <c r="C26" s="288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17" x14ac:dyDescent="0.2">
      <c r="A27" s="73" t="s">
        <v>121</v>
      </c>
      <c r="B27" s="342"/>
      <c r="C27" s="28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1:17" hidden="1" outlineLevel="1" x14ac:dyDescent="0.2">
      <c r="A28" s="83" t="s">
        <v>43</v>
      </c>
      <c r="B28" s="60"/>
      <c r="C28" s="285">
        <f>-'Data Property 3'!C196</f>
        <v>-362</v>
      </c>
      <c r="D28" s="84">
        <f>-'Data Property 3'!D196</f>
        <v>-362</v>
      </c>
      <c r="E28" s="84">
        <f>-'Data Property 3'!E196</f>
        <v>-362</v>
      </c>
      <c r="F28" s="84">
        <f>-'Data Property 3'!F196</f>
        <v>-362</v>
      </c>
      <c r="G28" s="84">
        <f>-'Data Property 3'!G196</f>
        <v>-362</v>
      </c>
      <c r="H28" s="84">
        <f>-'Data Property 3'!H196</f>
        <v>0</v>
      </c>
      <c r="I28" s="84">
        <f>-'Data Property 3'!I196</f>
        <v>0</v>
      </c>
      <c r="J28" s="84">
        <f>-'Data Property 3'!J196</f>
        <v>0</v>
      </c>
      <c r="K28" s="84">
        <f>-'Data Property 3'!K196</f>
        <v>0</v>
      </c>
      <c r="L28" s="84">
        <f>-'Data Property 3'!L196</f>
        <v>0</v>
      </c>
      <c r="M28" s="84">
        <f>-'Data Property 3'!M196</f>
        <v>0</v>
      </c>
      <c r="N28" s="84">
        <f>-'Data Property 3'!N196</f>
        <v>0</v>
      </c>
      <c r="O28" s="84">
        <f>-'Data Property 3'!O196</f>
        <v>0</v>
      </c>
      <c r="P28" s="84">
        <f>-'Data Property 3'!P196</f>
        <v>0</v>
      </c>
      <c r="Q28" s="84">
        <f>-'Data Property 3'!Q196</f>
        <v>0</v>
      </c>
    </row>
    <row r="29" spans="1:17" hidden="1" outlineLevel="1" x14ac:dyDescent="0.2">
      <c r="A29" s="85" t="str">
        <f>'Data Property 3'!$A$197</f>
        <v>Depreciation - Buildings</v>
      </c>
      <c r="C29" s="290">
        <f>-'Data Property 3'!C197</f>
        <v>-2625</v>
      </c>
      <c r="D29" s="86">
        <f>-'Data Property 3'!D197</f>
        <v>-2625</v>
      </c>
      <c r="E29" s="86">
        <f>-'Data Property 3'!E197</f>
        <v>-2625</v>
      </c>
      <c r="F29" s="86">
        <f>-'Data Property 3'!F197</f>
        <v>-2625</v>
      </c>
      <c r="G29" s="86">
        <f>-'Data Property 3'!G197</f>
        <v>-2625</v>
      </c>
      <c r="H29" s="86">
        <f>-'Data Property 3'!H197</f>
        <v>-2625</v>
      </c>
      <c r="I29" s="86">
        <f>-'Data Property 3'!I197</f>
        <v>-2625</v>
      </c>
      <c r="J29" s="86">
        <f>-'Data Property 3'!J197</f>
        <v>-2625</v>
      </c>
      <c r="K29" s="86">
        <f>-'Data Property 3'!K197</f>
        <v>-2625</v>
      </c>
      <c r="L29" s="86">
        <f>-'Data Property 3'!L197</f>
        <v>-2625</v>
      </c>
      <c r="M29" s="86">
        <f>-'Data Property 3'!M197</f>
        <v>-2625</v>
      </c>
      <c r="N29" s="86">
        <f>-'Data Property 3'!N197</f>
        <v>-2625</v>
      </c>
      <c r="O29" s="86">
        <f>-'Data Property 3'!O197</f>
        <v>-2625</v>
      </c>
      <c r="P29" s="86">
        <f>-'Data Property 3'!P197</f>
        <v>-2625</v>
      </c>
      <c r="Q29" s="86">
        <f>-'Data Property 3'!Q197</f>
        <v>-2625</v>
      </c>
    </row>
    <row r="30" spans="1:17" hidden="1" outlineLevel="1" x14ac:dyDescent="0.2">
      <c r="A30" s="85" t="str">
        <f>'Data Property 3'!$A$198</f>
        <v xml:space="preserve">Depreciation - Fittings Diminishing Value </v>
      </c>
      <c r="B30" s="76"/>
      <c r="C30" s="291">
        <f>-'Data Property 3'!C198</f>
        <v>-1500</v>
      </c>
      <c r="D30" s="90">
        <f>-'Data Property 3'!D198</f>
        <v>-1050</v>
      </c>
      <c r="E30" s="90">
        <f>-'Data Property 3'!E198</f>
        <v>-735</v>
      </c>
      <c r="F30" s="90">
        <f>-'Data Property 3'!F198</f>
        <v>-514.5</v>
      </c>
      <c r="G30" s="90">
        <f>-'Data Property 3'!G198</f>
        <v>-360.15</v>
      </c>
      <c r="H30" s="90">
        <f>-'Data Property 3'!H198</f>
        <v>-252.10499999999999</v>
      </c>
      <c r="I30" s="90">
        <f>-'Data Property 3'!I198</f>
        <v>-176.4735</v>
      </c>
      <c r="J30" s="90">
        <f>-'Data Property 3'!J198</f>
        <v>-123.53144999999999</v>
      </c>
      <c r="K30" s="90">
        <f>-'Data Property 3'!K198</f>
        <v>-86.472014999999999</v>
      </c>
      <c r="L30" s="90">
        <f>-'Data Property 3'!L198</f>
        <v>-60.530410499999995</v>
      </c>
      <c r="M30" s="90">
        <f>-'Data Property 3'!M198</f>
        <v>-42.371287350000003</v>
      </c>
      <c r="N30" s="90">
        <f>-'Data Property 3'!N198</f>
        <v>-29.659901144999999</v>
      </c>
      <c r="O30" s="90">
        <f>-'Data Property 3'!O198</f>
        <v>-20.7619308015</v>
      </c>
      <c r="P30" s="90">
        <f>-'Data Property 3'!P198</f>
        <v>-14.533351561049999</v>
      </c>
      <c r="Q30" s="90">
        <f>-'Data Property 3'!Q198</f>
        <v>-10.173346092735001</v>
      </c>
    </row>
    <row r="31" spans="1:17" collapsed="1" x14ac:dyDescent="0.2">
      <c r="A31" s="88" t="str">
        <f>'Data Property 3'!$A$200</f>
        <v>Total Non-cash Deductions</v>
      </c>
      <c r="B31" s="190"/>
      <c r="C31" s="287">
        <f t="shared" ref="C31:Q31" si="0">SUM(C28:C30)</f>
        <v>-4487</v>
      </c>
      <c r="D31" s="89">
        <f t="shared" si="0"/>
        <v>-4037</v>
      </c>
      <c r="E31" s="89">
        <f t="shared" si="0"/>
        <v>-3722</v>
      </c>
      <c r="F31" s="89">
        <f t="shared" si="0"/>
        <v>-3501.5</v>
      </c>
      <c r="G31" s="89">
        <f t="shared" si="0"/>
        <v>-3347.15</v>
      </c>
      <c r="H31" s="89">
        <f t="shared" si="0"/>
        <v>-2877.105</v>
      </c>
      <c r="I31" s="89">
        <f t="shared" si="0"/>
        <v>-2801.4735000000001</v>
      </c>
      <c r="J31" s="89">
        <f t="shared" si="0"/>
        <v>-2748.5314499999999</v>
      </c>
      <c r="K31" s="89">
        <f t="shared" si="0"/>
        <v>-2711.4720149999998</v>
      </c>
      <c r="L31" s="89">
        <f t="shared" si="0"/>
        <v>-2685.5304105</v>
      </c>
      <c r="M31" s="89">
        <f t="shared" si="0"/>
        <v>-2667.3712873499999</v>
      </c>
      <c r="N31" s="89">
        <f t="shared" si="0"/>
        <v>-2654.6599011449998</v>
      </c>
      <c r="O31" s="89">
        <f t="shared" si="0"/>
        <v>-2645.7619308015001</v>
      </c>
      <c r="P31" s="89">
        <f t="shared" si="0"/>
        <v>-2639.53335156105</v>
      </c>
      <c r="Q31" s="89">
        <f t="shared" si="0"/>
        <v>-2635.1733460927348</v>
      </c>
    </row>
    <row r="32" spans="1:17" x14ac:dyDescent="0.2">
      <c r="A32" s="60"/>
      <c r="B32" s="60"/>
      <c r="C32" s="292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</row>
    <row r="33" spans="1:17" x14ac:dyDescent="0.2">
      <c r="A33" s="73" t="s">
        <v>122</v>
      </c>
      <c r="B33" s="342"/>
      <c r="C33" s="28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1:17" hidden="1" outlineLevel="1" x14ac:dyDescent="0.2">
      <c r="A34" s="91" t="str">
        <f>'Data Property 3'!$A$163</f>
        <v>Rent Per Week</v>
      </c>
      <c r="B34" s="343"/>
      <c r="C34" s="293">
        <f>'Data Property 3'!C163</f>
        <v>370</v>
      </c>
      <c r="D34" s="92">
        <f>'Data Property 3'!D163</f>
        <v>384.42999999999995</v>
      </c>
      <c r="E34" s="92">
        <f>'Data Property 3'!E163</f>
        <v>399.4227699999999</v>
      </c>
      <c r="F34" s="92">
        <f>'Data Property 3'!F163</f>
        <v>415.00025802999988</v>
      </c>
      <c r="G34" s="92">
        <f>'Data Property 3'!G163</f>
        <v>431.18526809316984</v>
      </c>
      <c r="H34" s="92">
        <f>'Data Property 3'!H163</f>
        <v>448.00149354880341</v>
      </c>
      <c r="I34" s="92">
        <f>'Data Property 3'!I163</f>
        <v>465.47355179720671</v>
      </c>
      <c r="J34" s="92">
        <f>'Data Property 3'!J163</f>
        <v>483.62702031729776</v>
      </c>
      <c r="K34" s="92">
        <f>'Data Property 3'!K163</f>
        <v>502.48847410967232</v>
      </c>
      <c r="L34" s="92">
        <f>'Data Property 3'!L163</f>
        <v>522.08552459994951</v>
      </c>
      <c r="M34" s="92">
        <f>'Data Property 3'!M163</f>
        <v>542.4468600593475</v>
      </c>
      <c r="N34" s="92">
        <f>'Data Property 3'!N163</f>
        <v>563.60228760166206</v>
      </c>
      <c r="O34" s="92">
        <f>'Data Property 3'!O163</f>
        <v>585.58277681812683</v>
      </c>
      <c r="P34" s="92">
        <f>'Data Property 3'!P163</f>
        <v>608.42050511403374</v>
      </c>
      <c r="Q34" s="92">
        <f>'Data Property 3'!Q163</f>
        <v>632.14890481348107</v>
      </c>
    </row>
    <row r="35" spans="1:17" hidden="1" outlineLevel="1" x14ac:dyDescent="0.2">
      <c r="A35" s="93" t="str">
        <f>'Data Property 3'!$A$164</f>
        <v>Weeks</v>
      </c>
      <c r="B35" s="344"/>
      <c r="C35" s="294">
        <f>'Input Property 3'!$B$7</f>
        <v>50</v>
      </c>
      <c r="D35" s="250">
        <f>'Input Property 3'!$B$7</f>
        <v>50</v>
      </c>
      <c r="E35" s="250">
        <f>'Input Property 3'!$B$7</f>
        <v>50</v>
      </c>
      <c r="F35" s="250">
        <f>'Input Property 3'!$B$7</f>
        <v>50</v>
      </c>
      <c r="G35" s="250">
        <f>'Input Property 3'!$B$7</f>
        <v>50</v>
      </c>
      <c r="H35" s="250">
        <f>'Input Property 3'!$B$7</f>
        <v>50</v>
      </c>
      <c r="I35" s="250">
        <f>'Input Property 3'!$B$7</f>
        <v>50</v>
      </c>
      <c r="J35" s="250">
        <f>'Input Property 3'!$B$7</f>
        <v>50</v>
      </c>
      <c r="K35" s="250">
        <f>'Input Property 3'!$B$7</f>
        <v>50</v>
      </c>
      <c r="L35" s="250">
        <f>'Input Property 3'!$B$7</f>
        <v>50</v>
      </c>
      <c r="M35" s="250">
        <f>'Input Property 3'!$B$7</f>
        <v>50</v>
      </c>
      <c r="N35" s="250">
        <f>'Input Property 3'!$B$7</f>
        <v>50</v>
      </c>
      <c r="O35" s="250">
        <f>'Input Property 3'!$B$7</f>
        <v>50</v>
      </c>
      <c r="P35" s="250">
        <f>'Input Property 3'!$B$7</f>
        <v>50</v>
      </c>
      <c r="Q35" s="250">
        <f>'Input Property 3'!$B$7</f>
        <v>50</v>
      </c>
    </row>
    <row r="36" spans="1:17" collapsed="1" x14ac:dyDescent="0.2">
      <c r="A36" s="94" t="str">
        <f>'Data Property 3'!$A$165</f>
        <v>Total Rent</v>
      </c>
      <c r="B36" s="345"/>
      <c r="C36" s="295">
        <f>'Data Property 3'!C165</f>
        <v>8457.1428571428569</v>
      </c>
      <c r="D36" s="95">
        <f>'Data Property 3'!D165</f>
        <v>19276.41857142857</v>
      </c>
      <c r="E36" s="95">
        <f>'Data Property 3'!E165</f>
        <v>20085.259291428567</v>
      </c>
      <c r="F36" s="95">
        <f>'Data Property 3'!F165</f>
        <v>20809.29865264714</v>
      </c>
      <c r="G36" s="95">
        <f>'Data Property 3'!G165</f>
        <v>21620.861300100376</v>
      </c>
      <c r="H36" s="95">
        <f>'Data Property 3'!H165</f>
        <v>22464.074890804288</v>
      </c>
      <c r="I36" s="95">
        <f>'Data Property 3'!I165</f>
        <v>23406.670033230967</v>
      </c>
      <c r="J36" s="95">
        <f>'Data Property 3'!J165</f>
        <v>24250.440590195933</v>
      </c>
      <c r="K36" s="95">
        <f>'Data Property 3'!K165</f>
        <v>25196.207773213569</v>
      </c>
      <c r="L36" s="95">
        <f>'Data Property 3'!L165</f>
        <v>26178.859876368897</v>
      </c>
      <c r="M36" s="95">
        <f>'Data Property 3'!M165</f>
        <v>27277.32782012719</v>
      </c>
      <c r="N36" s="95">
        <f>'Data Property 3'!N165</f>
        <v>28260.628992597627</v>
      </c>
      <c r="O36" s="95">
        <f>'Data Property 3'!O165</f>
        <v>29362.793523308934</v>
      </c>
      <c r="P36" s="95">
        <f>'Data Property 3'!P165</f>
        <v>30507.942470717979</v>
      </c>
      <c r="Q36" s="95">
        <f>'Data Property 3'!Q165</f>
        <v>31788.059213477904</v>
      </c>
    </row>
    <row r="37" spans="1:17" x14ac:dyDescent="0.2">
      <c r="A37" s="60"/>
      <c r="B37" s="60"/>
      <c r="C37" s="198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x14ac:dyDescent="0.2">
      <c r="A38" s="73" t="s">
        <v>124</v>
      </c>
      <c r="B38" s="342"/>
      <c r="C38" s="289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1:17" hidden="1" outlineLevel="1" x14ac:dyDescent="0.2">
      <c r="A39" s="96" t="s">
        <v>125</v>
      </c>
      <c r="B39" s="346"/>
      <c r="C39" s="296">
        <f t="shared" ref="C39:Q39" si="1">C25</f>
        <v>-12474.225044874824</v>
      </c>
      <c r="D39" s="97">
        <f t="shared" si="1"/>
        <v>-22768.89460172414</v>
      </c>
      <c r="E39" s="97">
        <f t="shared" si="1"/>
        <v>-22981.069053887837</v>
      </c>
      <c r="F39" s="97">
        <f t="shared" si="1"/>
        <v>-23113.018727158189</v>
      </c>
      <c r="G39" s="97">
        <f t="shared" si="1"/>
        <v>-23293.022397836052</v>
      </c>
      <c r="H39" s="97">
        <f t="shared" si="1"/>
        <v>-23478.548081816254</v>
      </c>
      <c r="I39" s="97">
        <f t="shared" si="1"/>
        <v>-23713.138282902899</v>
      </c>
      <c r="J39" s="97">
        <f t="shared" si="1"/>
        <v>-23866.883112747881</v>
      </c>
      <c r="K39" s="97">
        <f t="shared" si="1"/>
        <v>-24070.066486836306</v>
      </c>
      <c r="L39" s="97">
        <f t="shared" si="1"/>
        <v>-24279.520357469395</v>
      </c>
      <c r="M39" s="97">
        <f t="shared" si="1"/>
        <v>-24539.582264250559</v>
      </c>
      <c r="N39" s="97">
        <f t="shared" si="1"/>
        <v>-24718.059311903216</v>
      </c>
      <c r="O39" s="97">
        <f t="shared" si="1"/>
        <v>-24947.571729346862</v>
      </c>
      <c r="P39" s="97">
        <f t="shared" si="1"/>
        <v>-25184.209805315724</v>
      </c>
      <c r="Q39" s="97">
        <f t="shared" si="1"/>
        <v>-25473.237159410251</v>
      </c>
    </row>
    <row r="40" spans="1:17" hidden="1" outlineLevel="1" x14ac:dyDescent="0.2">
      <c r="A40" s="98" t="s">
        <v>126</v>
      </c>
      <c r="B40" s="347"/>
      <c r="C40" s="297">
        <f t="shared" ref="C40:Q40" si="2">C36</f>
        <v>8457.1428571428569</v>
      </c>
      <c r="D40" s="99">
        <f t="shared" si="2"/>
        <v>19276.41857142857</v>
      </c>
      <c r="E40" s="99">
        <f t="shared" si="2"/>
        <v>20085.259291428567</v>
      </c>
      <c r="F40" s="99">
        <f t="shared" si="2"/>
        <v>20809.29865264714</v>
      </c>
      <c r="G40" s="99">
        <f t="shared" si="2"/>
        <v>21620.861300100376</v>
      </c>
      <c r="H40" s="99">
        <f t="shared" si="2"/>
        <v>22464.074890804288</v>
      </c>
      <c r="I40" s="99">
        <f t="shared" si="2"/>
        <v>23406.670033230967</v>
      </c>
      <c r="J40" s="99">
        <f t="shared" si="2"/>
        <v>24250.440590195933</v>
      </c>
      <c r="K40" s="99">
        <f t="shared" si="2"/>
        <v>25196.207773213569</v>
      </c>
      <c r="L40" s="99">
        <f t="shared" si="2"/>
        <v>26178.859876368897</v>
      </c>
      <c r="M40" s="99">
        <f t="shared" si="2"/>
        <v>27277.32782012719</v>
      </c>
      <c r="N40" s="99">
        <f t="shared" si="2"/>
        <v>28260.628992597627</v>
      </c>
      <c r="O40" s="99">
        <f t="shared" si="2"/>
        <v>29362.793523308934</v>
      </c>
      <c r="P40" s="99">
        <f t="shared" si="2"/>
        <v>30507.942470717979</v>
      </c>
      <c r="Q40" s="99">
        <f t="shared" si="2"/>
        <v>31788.059213477904</v>
      </c>
    </row>
    <row r="41" spans="1:17" hidden="1" outlineLevel="1" x14ac:dyDescent="0.2">
      <c r="A41" s="98" t="s">
        <v>127</v>
      </c>
      <c r="B41" s="346"/>
      <c r="C41" s="296">
        <f t="shared" ref="C41:Q41" si="3">C39+C40</f>
        <v>-4017.0821877319668</v>
      </c>
      <c r="D41" s="97">
        <f t="shared" si="3"/>
        <v>-3492.4760302955692</v>
      </c>
      <c r="E41" s="97">
        <f t="shared" si="3"/>
        <v>-2895.8097624592701</v>
      </c>
      <c r="F41" s="97">
        <f t="shared" si="3"/>
        <v>-2303.7200745110495</v>
      </c>
      <c r="G41" s="97">
        <f t="shared" si="3"/>
        <v>-1672.1610977356759</v>
      </c>
      <c r="H41" s="97">
        <f t="shared" si="3"/>
        <v>-1014.4731910119663</v>
      </c>
      <c r="I41" s="97">
        <f t="shared" si="3"/>
        <v>-306.46824967193243</v>
      </c>
      <c r="J41" s="97">
        <f t="shared" si="3"/>
        <v>383.55747744805194</v>
      </c>
      <c r="K41" s="97">
        <f t="shared" si="3"/>
        <v>1126.1412863772639</v>
      </c>
      <c r="L41" s="97">
        <f t="shared" si="3"/>
        <v>1899.3395188995019</v>
      </c>
      <c r="M41" s="97">
        <f t="shared" si="3"/>
        <v>2737.7455558766305</v>
      </c>
      <c r="N41" s="97">
        <f t="shared" si="3"/>
        <v>3542.5696806944106</v>
      </c>
      <c r="O41" s="97">
        <f t="shared" si="3"/>
        <v>4415.2217939620714</v>
      </c>
      <c r="P41" s="97">
        <f t="shared" si="3"/>
        <v>5323.7326654022545</v>
      </c>
      <c r="Q41" s="97">
        <f t="shared" si="3"/>
        <v>6314.8220540676521</v>
      </c>
    </row>
    <row r="42" spans="1:17" hidden="1" outlineLevel="1" x14ac:dyDescent="0.2">
      <c r="A42" s="98" t="s">
        <v>128</v>
      </c>
      <c r="B42" s="348"/>
      <c r="C42" s="298">
        <f t="shared" ref="C42:Q42" si="4">C31</f>
        <v>-4487</v>
      </c>
      <c r="D42" s="100">
        <f t="shared" si="4"/>
        <v>-4037</v>
      </c>
      <c r="E42" s="100">
        <f t="shared" si="4"/>
        <v>-3722</v>
      </c>
      <c r="F42" s="100">
        <f t="shared" si="4"/>
        <v>-3501.5</v>
      </c>
      <c r="G42" s="100">
        <f t="shared" si="4"/>
        <v>-3347.15</v>
      </c>
      <c r="H42" s="100">
        <f t="shared" si="4"/>
        <v>-2877.105</v>
      </c>
      <c r="I42" s="100">
        <f t="shared" si="4"/>
        <v>-2801.4735000000001</v>
      </c>
      <c r="J42" s="100">
        <f t="shared" si="4"/>
        <v>-2748.5314499999999</v>
      </c>
      <c r="K42" s="100">
        <f t="shared" si="4"/>
        <v>-2711.4720149999998</v>
      </c>
      <c r="L42" s="100">
        <f t="shared" si="4"/>
        <v>-2685.5304105</v>
      </c>
      <c r="M42" s="100">
        <f t="shared" si="4"/>
        <v>-2667.3712873499999</v>
      </c>
      <c r="N42" s="100">
        <f t="shared" si="4"/>
        <v>-2654.6599011449998</v>
      </c>
      <c r="O42" s="100">
        <f t="shared" si="4"/>
        <v>-2645.7619308015001</v>
      </c>
      <c r="P42" s="100">
        <f t="shared" si="4"/>
        <v>-2639.53335156105</v>
      </c>
      <c r="Q42" s="100">
        <f t="shared" si="4"/>
        <v>-2635.1733460927348</v>
      </c>
    </row>
    <row r="43" spans="1:17" hidden="1" outlineLevel="1" x14ac:dyDescent="0.2">
      <c r="A43" s="98"/>
      <c r="B43" s="347"/>
      <c r="C43" s="299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1:17" collapsed="1" x14ac:dyDescent="0.2">
      <c r="A44" s="102" t="s">
        <v>129</v>
      </c>
      <c r="B44" s="349"/>
      <c r="C44" s="300">
        <f t="shared" ref="C44:Q44" si="5">C41+C42</f>
        <v>-8504.0821877319668</v>
      </c>
      <c r="D44" s="103">
        <f t="shared" si="5"/>
        <v>-7529.4760302955692</v>
      </c>
      <c r="E44" s="103">
        <f t="shared" si="5"/>
        <v>-6617.8097624592701</v>
      </c>
      <c r="F44" s="103">
        <f t="shared" si="5"/>
        <v>-5805.2200745110495</v>
      </c>
      <c r="G44" s="103">
        <f t="shared" si="5"/>
        <v>-5019.3110977356755</v>
      </c>
      <c r="H44" s="103">
        <f t="shared" si="5"/>
        <v>-3891.5781910119663</v>
      </c>
      <c r="I44" s="103">
        <f t="shared" si="5"/>
        <v>-3107.9417496719325</v>
      </c>
      <c r="J44" s="103">
        <f t="shared" si="5"/>
        <v>-2364.973972551948</v>
      </c>
      <c r="K44" s="103">
        <f t="shared" si="5"/>
        <v>-1585.3307286227359</v>
      </c>
      <c r="L44" s="103">
        <f t="shared" si="5"/>
        <v>-786.19089160049816</v>
      </c>
      <c r="M44" s="103">
        <f t="shared" si="5"/>
        <v>70.374268526630658</v>
      </c>
      <c r="N44" s="103">
        <f t="shared" si="5"/>
        <v>887.90977954941081</v>
      </c>
      <c r="O44" s="103">
        <f t="shared" si="5"/>
        <v>1769.4598631605713</v>
      </c>
      <c r="P44" s="103">
        <f t="shared" si="5"/>
        <v>2684.1993138412045</v>
      </c>
      <c r="Q44" s="103">
        <f t="shared" si="5"/>
        <v>3679.6487079749172</v>
      </c>
    </row>
    <row r="45" spans="1:17" x14ac:dyDescent="0.2">
      <c r="A45" s="82"/>
      <c r="B45" s="82"/>
      <c r="C45" s="301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1:17" x14ac:dyDescent="0.2">
      <c r="A46" s="104" t="s">
        <v>50</v>
      </c>
      <c r="B46" s="350"/>
      <c r="C46" s="289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1:17" hidden="1" outlineLevel="1" x14ac:dyDescent="0.2">
      <c r="A47" s="105" t="s">
        <v>137</v>
      </c>
      <c r="B47" s="70"/>
      <c r="C47" s="302">
        <f>'Data Property 3'!C206</f>
        <v>123000</v>
      </c>
      <c r="D47" s="106">
        <f>'Data Property 3'!D206</f>
        <v>125460</v>
      </c>
      <c r="E47" s="106">
        <f>'Data Property 3'!E206</f>
        <v>127969.2</v>
      </c>
      <c r="F47" s="106">
        <f>'Data Property 3'!F206</f>
        <v>130528.584</v>
      </c>
      <c r="G47" s="106">
        <f>'Data Property 3'!G206</f>
        <v>133139.15568</v>
      </c>
      <c r="H47" s="106">
        <f>'Data Property 3'!H206</f>
        <v>135801.93879360001</v>
      </c>
      <c r="I47" s="106">
        <f>'Data Property 3'!I206</f>
        <v>138517.97756947202</v>
      </c>
      <c r="J47" s="106">
        <f>'Data Property 3'!J206</f>
        <v>141288.33712086146</v>
      </c>
      <c r="K47" s="106">
        <f>'Data Property 3'!K206</f>
        <v>144114.10386327869</v>
      </c>
      <c r="L47" s="106">
        <f>'Data Property 3'!L206</f>
        <v>146996.38594054428</v>
      </c>
      <c r="M47" s="106">
        <f>'Data Property 3'!M206</f>
        <v>149936.31365935516</v>
      </c>
      <c r="N47" s="106">
        <f>'Data Property 3'!N206</f>
        <v>152935.03993254228</v>
      </c>
      <c r="O47" s="106">
        <f>'Data Property 3'!O206</f>
        <v>155993.74073119313</v>
      </c>
      <c r="P47" s="106">
        <f>'Data Property 3'!P206</f>
        <v>159113.61554581701</v>
      </c>
      <c r="Q47" s="106">
        <f>'Data Property 3'!Q206</f>
        <v>162295.88785673334</v>
      </c>
    </row>
    <row r="48" spans="1:17" hidden="1" outlineLevel="1" x14ac:dyDescent="0.2">
      <c r="A48" s="107" t="s">
        <v>35</v>
      </c>
      <c r="B48" s="189"/>
      <c r="C48" s="303">
        <f>-'Data Property 3'!C207</f>
        <v>-33456.114999999998</v>
      </c>
      <c r="D48" s="108">
        <f>-'Data Property 3'!D207</f>
        <v>-34366.315000000002</v>
      </c>
      <c r="E48" s="108">
        <f>-'Data Property 3'!E207</f>
        <v>-35294.718999999997</v>
      </c>
      <c r="F48" s="108">
        <f>-'Data Property 3'!F207</f>
        <v>-36241.691080000004</v>
      </c>
      <c r="G48" s="108">
        <f>-'Data Property 3'!G207</f>
        <v>-37207.602601599996</v>
      </c>
      <c r="H48" s="108">
        <f>-'Data Property 3'!H207</f>
        <v>-38192.832353632009</v>
      </c>
      <c r="I48" s="108">
        <f>-'Data Property 3'!I207</f>
        <v>-39197.766700704648</v>
      </c>
      <c r="J48" s="108">
        <f>-'Data Property 3'!J207</f>
        <v>-40222.799734718734</v>
      </c>
      <c r="K48" s="108">
        <f>-'Data Property 3'!K207</f>
        <v>-41268.33342941312</v>
      </c>
      <c r="L48" s="108">
        <f>-'Data Property 3'!L207</f>
        <v>-42334.777798001378</v>
      </c>
      <c r="M48" s="108">
        <f>-'Data Property 3'!M207</f>
        <v>-43422.551053961412</v>
      </c>
      <c r="N48" s="108">
        <f>-'Data Property 3'!N207</f>
        <v>-44532.079775040642</v>
      </c>
      <c r="O48" s="108">
        <f>-'Data Property 3'!O207</f>
        <v>-45663.799070541456</v>
      </c>
      <c r="P48" s="108">
        <f>-'Data Property 3'!P207</f>
        <v>-46818.152751952293</v>
      </c>
      <c r="Q48" s="108">
        <f>-'Data Property 3'!Q207</f>
        <v>-47995.593506991339</v>
      </c>
    </row>
    <row r="49" spans="1:17" hidden="1" outlineLevel="1" x14ac:dyDescent="0.2">
      <c r="A49" s="107" t="s">
        <v>139</v>
      </c>
      <c r="B49" s="81"/>
      <c r="C49" s="300">
        <f t="shared" ref="C49:Q49" si="6">C47+C48</f>
        <v>89543.885000000009</v>
      </c>
      <c r="D49" s="103">
        <f t="shared" si="6"/>
        <v>91093.684999999998</v>
      </c>
      <c r="E49" s="103">
        <f t="shared" si="6"/>
        <v>92674.481</v>
      </c>
      <c r="F49" s="103">
        <f t="shared" si="6"/>
        <v>94286.892919999998</v>
      </c>
      <c r="G49" s="103">
        <f t="shared" si="6"/>
        <v>95931.5530784</v>
      </c>
      <c r="H49" s="103">
        <f t="shared" si="6"/>
        <v>97609.106439968004</v>
      </c>
      <c r="I49" s="103">
        <f t="shared" si="6"/>
        <v>99320.210868767375</v>
      </c>
      <c r="J49" s="103">
        <f t="shared" si="6"/>
        <v>101065.53738614272</v>
      </c>
      <c r="K49" s="103">
        <f t="shared" si="6"/>
        <v>102845.77043386557</v>
      </c>
      <c r="L49" s="103">
        <f t="shared" si="6"/>
        <v>104661.6081425429</v>
      </c>
      <c r="M49" s="103">
        <f t="shared" si="6"/>
        <v>106513.76260539374</v>
      </c>
      <c r="N49" s="103">
        <f t="shared" si="6"/>
        <v>108402.96015750163</v>
      </c>
      <c r="O49" s="103">
        <f t="shared" si="6"/>
        <v>110329.94166065168</v>
      </c>
      <c r="P49" s="103">
        <f t="shared" si="6"/>
        <v>112295.46279386472</v>
      </c>
      <c r="Q49" s="103">
        <f t="shared" si="6"/>
        <v>114300.29434974201</v>
      </c>
    </row>
    <row r="50" spans="1:17" hidden="1" outlineLevel="1" x14ac:dyDescent="0.2">
      <c r="A50" s="107" t="s">
        <v>138</v>
      </c>
      <c r="B50" s="70"/>
      <c r="C50" s="302">
        <f>'Data Property 3'!C215</f>
        <v>96000</v>
      </c>
      <c r="D50" s="106">
        <f>'Data Property 3'!D215</f>
        <v>97920</v>
      </c>
      <c r="E50" s="106">
        <f>'Data Property 3'!E215</f>
        <v>99878.400000000009</v>
      </c>
      <c r="F50" s="106">
        <f>'Data Property 3'!F215</f>
        <v>101875.96800000001</v>
      </c>
      <c r="G50" s="106">
        <f>'Data Property 3'!G215</f>
        <v>103913.48736000001</v>
      </c>
      <c r="H50" s="106">
        <f>'Data Property 3'!H215</f>
        <v>105991.75710720001</v>
      </c>
      <c r="I50" s="106">
        <f>'Data Property 3'!I215</f>
        <v>108111.59224934402</v>
      </c>
      <c r="J50" s="106">
        <f>'Data Property 3'!J215</f>
        <v>110273.82409433089</v>
      </c>
      <c r="K50" s="106">
        <f>'Data Property 3'!K215</f>
        <v>112479.30057621752</v>
      </c>
      <c r="L50" s="106">
        <f>'Data Property 3'!L215</f>
        <v>114728.88658774187</v>
      </c>
      <c r="M50" s="106">
        <f>'Data Property 3'!M215</f>
        <v>117023.46431949671</v>
      </c>
      <c r="N50" s="106">
        <f>'Data Property 3'!N215</f>
        <v>119363.93360588665</v>
      </c>
      <c r="O50" s="106">
        <f>'Data Property 3'!O215</f>
        <v>121751.21227800439</v>
      </c>
      <c r="P50" s="106">
        <f>'Data Property 3'!P215</f>
        <v>124186.23652356448</v>
      </c>
      <c r="Q50" s="106">
        <f>'Data Property 3'!Q215</f>
        <v>126669.96125403578</v>
      </c>
    </row>
    <row r="51" spans="1:17" hidden="1" outlineLevel="1" x14ac:dyDescent="0.2">
      <c r="A51" s="107" t="s">
        <v>35</v>
      </c>
      <c r="B51" s="189"/>
      <c r="C51" s="303">
        <f>'Data Property 3'!C216</f>
        <v>23466.115000000002</v>
      </c>
      <c r="D51" s="108">
        <f>'Data Property 3'!D216</f>
        <v>24176.514999999999</v>
      </c>
      <c r="E51" s="108">
        <f>'Data Property 3'!E216</f>
        <v>24901.123000000003</v>
      </c>
      <c r="F51" s="108">
        <f>'Data Property 3'!F216</f>
        <v>25640.223160000001</v>
      </c>
      <c r="G51" s="108">
        <f>'Data Property 3'!G216</f>
        <v>26394.105323200005</v>
      </c>
      <c r="H51" s="108">
        <f>'Data Property 3'!H216</f>
        <v>27163.065129664006</v>
      </c>
      <c r="I51" s="108">
        <f>'Data Property 3'!I216</f>
        <v>27947.404132257288</v>
      </c>
      <c r="J51" s="108">
        <f>'Data Property 3'!J216</f>
        <v>28747.42991490243</v>
      </c>
      <c r="K51" s="108">
        <f>'Data Property 3'!K216</f>
        <v>29563.456213200479</v>
      </c>
      <c r="L51" s="108">
        <f>'Data Property 3'!L216</f>
        <v>30395.803037464495</v>
      </c>
      <c r="M51" s="108">
        <f>'Data Property 3'!M216</f>
        <v>31244.796798213782</v>
      </c>
      <c r="N51" s="108">
        <f>'Data Property 3'!N216</f>
        <v>32110.770434178059</v>
      </c>
      <c r="O51" s="108">
        <f>'Data Property 3'!O216</f>
        <v>32994.063542861622</v>
      </c>
      <c r="P51" s="108">
        <f>'Data Property 3'!P216</f>
        <v>33895.022513718861</v>
      </c>
      <c r="Q51" s="108">
        <f>'Data Property 3'!Q216</f>
        <v>34814.00066399324</v>
      </c>
    </row>
    <row r="52" spans="1:17" hidden="1" outlineLevel="1" x14ac:dyDescent="0.2">
      <c r="A52" s="109" t="s">
        <v>139</v>
      </c>
      <c r="B52" s="81"/>
      <c r="C52" s="304">
        <f t="shared" ref="C52:Q52" si="7">C50+C51</f>
        <v>119466.11500000001</v>
      </c>
      <c r="D52" s="110">
        <f t="shared" si="7"/>
        <v>122096.515</v>
      </c>
      <c r="E52" s="110">
        <f t="shared" si="7"/>
        <v>124779.52300000002</v>
      </c>
      <c r="F52" s="110">
        <f t="shared" si="7"/>
        <v>127516.19116000002</v>
      </c>
      <c r="G52" s="110">
        <f t="shared" si="7"/>
        <v>130307.59268320003</v>
      </c>
      <c r="H52" s="110">
        <f t="shared" si="7"/>
        <v>133154.82223686401</v>
      </c>
      <c r="I52" s="110">
        <f t="shared" si="7"/>
        <v>136058.99638160132</v>
      </c>
      <c r="J52" s="110">
        <f t="shared" si="7"/>
        <v>139021.25400923332</v>
      </c>
      <c r="K52" s="110">
        <f t="shared" si="7"/>
        <v>142042.756789418</v>
      </c>
      <c r="L52" s="110">
        <f t="shared" si="7"/>
        <v>145124.68962520637</v>
      </c>
      <c r="M52" s="110">
        <f t="shared" si="7"/>
        <v>148268.2611177105</v>
      </c>
      <c r="N52" s="110">
        <f t="shared" si="7"/>
        <v>151474.70404006471</v>
      </c>
      <c r="O52" s="110">
        <f t="shared" si="7"/>
        <v>154745.27582086599</v>
      </c>
      <c r="P52" s="110">
        <f t="shared" si="7"/>
        <v>158081.25903728334</v>
      </c>
      <c r="Q52" s="110">
        <f t="shared" si="7"/>
        <v>161483.961918029</v>
      </c>
    </row>
    <row r="53" spans="1:17" hidden="1" outlineLevel="1" x14ac:dyDescent="0.2">
      <c r="A53" s="78" t="s">
        <v>144</v>
      </c>
      <c r="B53" s="351"/>
      <c r="C53" s="305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1:17" hidden="1" outlineLevel="1" x14ac:dyDescent="0.2">
      <c r="A54" s="105" t="s">
        <v>137</v>
      </c>
      <c r="B54" s="70"/>
      <c r="C54" s="302">
        <f>'Data Property 3'!C209</f>
        <v>116196.73424981443</v>
      </c>
      <c r="D54" s="106">
        <f>'Data Property 3'!D209</f>
        <v>119436.41917576354</v>
      </c>
      <c r="E54" s="106">
        <f>'Data Property 3'!E209</f>
        <v>122674.95219003258</v>
      </c>
      <c r="F54" s="106">
        <f>'Data Property 3'!F209</f>
        <v>125884.40794039116</v>
      </c>
      <c r="G54" s="106">
        <f>'Data Property 3'!G209</f>
        <v>129123.70680181145</v>
      </c>
      <c r="H54" s="106">
        <f>'Data Property 3'!H209</f>
        <v>132688.67624079043</v>
      </c>
      <c r="I54" s="106">
        <f>'Data Property 3'!I209</f>
        <v>136031.62416973448</v>
      </c>
      <c r="J54" s="106">
        <f>'Data Property 3'!J209</f>
        <v>139396.35794281989</v>
      </c>
      <c r="K54" s="106">
        <f>'Data Property 3'!K209</f>
        <v>142845.83928038052</v>
      </c>
      <c r="L54" s="106">
        <f>'Data Property 3'!L209</f>
        <v>146367.43322726389</v>
      </c>
      <c r="M54" s="106">
        <f>'Data Property 3'!M209</f>
        <v>149992.61307417645</v>
      </c>
      <c r="N54" s="106">
        <f>'Data Property 3'!N209</f>
        <v>153645.3677561818</v>
      </c>
      <c r="O54" s="106">
        <f>'Data Property 3'!O209</f>
        <v>157409.30862172158</v>
      </c>
      <c r="P54" s="106">
        <f>'Data Property 3'!P209</f>
        <v>161260.97499688997</v>
      </c>
      <c r="Q54" s="106">
        <f>'Data Property 3'!Q209</f>
        <v>165239.60682311328</v>
      </c>
    </row>
    <row r="55" spans="1:17" hidden="1" outlineLevel="1" x14ac:dyDescent="0.2">
      <c r="A55" s="107" t="s">
        <v>35</v>
      </c>
      <c r="B55" s="47"/>
      <c r="C55" s="298">
        <f>-'Data Property 3'!C210</f>
        <v>-32352.368616183954</v>
      </c>
      <c r="D55" s="100">
        <f>-'Data Property 3'!D210</f>
        <v>-33130.679630721621</v>
      </c>
      <c r="E55" s="100">
        <f>-'Data Property 3'!E210</f>
        <v>-34196.449798365175</v>
      </c>
      <c r="F55" s="100">
        <f>-'Data Property 3'!F210</f>
        <v>-35267.893639862647</v>
      </c>
      <c r="G55" s="100">
        <f>-'Data Property 3'!G210</f>
        <v>-36349.175663226393</v>
      </c>
      <c r="H55" s="100">
        <f>-'Data Property 3'!H210</f>
        <v>-37514.23194346972</v>
      </c>
      <c r="I55" s="100">
        <f>-'Data Property 3'!I210</f>
        <v>-38623.79492318078</v>
      </c>
      <c r="J55" s="100">
        <f>-'Data Property 3'!J210</f>
        <v>-39755.554043107128</v>
      </c>
      <c r="K55" s="100">
        <f>-'Data Property 3'!K210</f>
        <v>-40908.497432896009</v>
      </c>
      <c r="L55" s="100">
        <f>-'Data Property 3'!L210</f>
        <v>-42088.271204551362</v>
      </c>
      <c r="M55" s="100">
        <f>-'Data Property 3'!M210</f>
        <v>-43283.381543895208</v>
      </c>
      <c r="N55" s="100">
        <f>-'Data Property 3'!N210</f>
        <v>-44507.495533255453</v>
      </c>
      <c r="O55" s="100">
        <f>-'Data Property 3'!O210</f>
        <v>-45757.275875182058</v>
      </c>
      <c r="P55" s="100">
        <f>-'Data Property 3'!P210</f>
        <v>-47039.383585117554</v>
      </c>
      <c r="Q55" s="100">
        <f>-'Data Property 3'!Q210</f>
        <v>-48337.019010134041</v>
      </c>
    </row>
    <row r="56" spans="1:17" hidden="1" outlineLevel="1" x14ac:dyDescent="0.2">
      <c r="A56" s="107" t="s">
        <v>143</v>
      </c>
      <c r="B56" s="81"/>
      <c r="C56" s="300">
        <f t="shared" ref="C56:Q56" si="8">C54+C55</f>
        <v>83844.36563363047</v>
      </c>
      <c r="D56" s="103">
        <f t="shared" si="8"/>
        <v>86305.739545041928</v>
      </c>
      <c r="E56" s="103">
        <f t="shared" si="8"/>
        <v>88478.502391667396</v>
      </c>
      <c r="F56" s="103">
        <f t="shared" si="8"/>
        <v>90616.514300528506</v>
      </c>
      <c r="G56" s="103">
        <f t="shared" si="8"/>
        <v>92774.531138585065</v>
      </c>
      <c r="H56" s="103">
        <f t="shared" si="8"/>
        <v>95174.444297320704</v>
      </c>
      <c r="I56" s="103">
        <f t="shared" si="8"/>
        <v>97407.829246553709</v>
      </c>
      <c r="J56" s="103">
        <f t="shared" si="8"/>
        <v>99640.803899712759</v>
      </c>
      <c r="K56" s="103">
        <f t="shared" si="8"/>
        <v>101937.34184748451</v>
      </c>
      <c r="L56" s="103">
        <f t="shared" si="8"/>
        <v>104279.16202271252</v>
      </c>
      <c r="M56" s="103">
        <f t="shared" si="8"/>
        <v>106709.23153028125</v>
      </c>
      <c r="N56" s="103">
        <f t="shared" si="8"/>
        <v>109137.87222292635</v>
      </c>
      <c r="O56" s="103">
        <f t="shared" si="8"/>
        <v>111652.03274653951</v>
      </c>
      <c r="P56" s="103">
        <f t="shared" si="8"/>
        <v>114221.59141177242</v>
      </c>
      <c r="Q56" s="103">
        <f t="shared" si="8"/>
        <v>116902.58781297924</v>
      </c>
    </row>
    <row r="57" spans="1:17" hidden="1" outlineLevel="1" x14ac:dyDescent="0.2">
      <c r="A57" s="107" t="s">
        <v>138</v>
      </c>
      <c r="B57" s="70"/>
      <c r="C57" s="302">
        <f>'Data Property 3'!C218</f>
        <v>94299.183562453603</v>
      </c>
      <c r="D57" s="106">
        <f>'Data Property 3'!D218</f>
        <v>96414.104793940889</v>
      </c>
      <c r="E57" s="106">
        <f>'Data Property 3'!E218</f>
        <v>98554.83804750815</v>
      </c>
      <c r="F57" s="106">
        <f>'Data Property 3'!F218</f>
        <v>100714.9239850978</v>
      </c>
      <c r="G57" s="106">
        <f>'Data Property 3'!G218</f>
        <v>102909.62514045287</v>
      </c>
      <c r="H57" s="106">
        <f>'Data Property 3'!H218</f>
        <v>105213.44146899763</v>
      </c>
      <c r="I57" s="106">
        <f>'Data Property 3'!I218</f>
        <v>107490.00389940962</v>
      </c>
      <c r="J57" s="106">
        <f>'Data Property 3'!J218</f>
        <v>109800.8292998205</v>
      </c>
      <c r="K57" s="106">
        <f>'Data Property 3'!K218</f>
        <v>112162.23443049297</v>
      </c>
      <c r="L57" s="106">
        <f>'Data Property 3'!L218</f>
        <v>114571.64840942177</v>
      </c>
      <c r="M57" s="106">
        <f>'Data Property 3'!M218</f>
        <v>117037.53917320204</v>
      </c>
      <c r="N57" s="106">
        <f>'Data Property 3'!N218</f>
        <v>119541.51556179652</v>
      </c>
      <c r="O57" s="106">
        <f>'Data Property 3'!O218</f>
        <v>122105.1042506365</v>
      </c>
      <c r="P57" s="106">
        <f>'Data Property 3'!P218</f>
        <v>124723.07638633272</v>
      </c>
      <c r="Q57" s="106">
        <f>'Data Property 3'!Q218</f>
        <v>127405.89099563076</v>
      </c>
    </row>
    <row r="58" spans="1:17" hidden="1" outlineLevel="1" x14ac:dyDescent="0.2">
      <c r="A58" s="107" t="s">
        <v>35</v>
      </c>
      <c r="B58" s="47"/>
      <c r="C58" s="298">
        <f>-'Data Property 3'!C219</f>
        <v>-22362.368616183954</v>
      </c>
      <c r="D58" s="100">
        <f>-'Data Property 3'!D219</f>
        <v>-22940.879630721625</v>
      </c>
      <c r="E58" s="100">
        <f>-'Data Property 3'!E219</f>
        <v>-23802.85379836518</v>
      </c>
      <c r="F58" s="100">
        <f>-'Data Property 3'!F219</f>
        <v>-24666.425719862647</v>
      </c>
      <c r="G58" s="100">
        <f>-'Data Property 3'!G219</f>
        <v>-25535.678384826402</v>
      </c>
      <c r="H58" s="100">
        <f>-'Data Property 3'!H219</f>
        <v>-26484.464719501724</v>
      </c>
      <c r="I58" s="100">
        <f>-'Data Property 3'!I219</f>
        <v>-27373.432354733424</v>
      </c>
      <c r="J58" s="100">
        <f>-'Data Property 3'!J219</f>
        <v>-28280.184223290817</v>
      </c>
      <c r="K58" s="100">
        <f>-'Data Property 3'!K219</f>
        <v>-29203.620216683372</v>
      </c>
      <c r="L58" s="100">
        <f>-'Data Property 3'!L219</f>
        <v>-30149.296444014479</v>
      </c>
      <c r="M58" s="100">
        <f>-'Data Property 3'!M219</f>
        <v>-31105.627288147585</v>
      </c>
      <c r="N58" s="100">
        <f>-'Data Property 3'!N219</f>
        <v>-32086.186192392874</v>
      </c>
      <c r="O58" s="100">
        <f>-'Data Property 3'!O219</f>
        <v>-33087.540347502225</v>
      </c>
      <c r="P58" s="100">
        <f>-'Data Property 3'!P219</f>
        <v>-34116.253346884128</v>
      </c>
      <c r="Q58" s="100">
        <f>-'Data Property 3'!Q219</f>
        <v>-35155.426167135942</v>
      </c>
    </row>
    <row r="59" spans="1:17" hidden="1" outlineLevel="1" x14ac:dyDescent="0.2">
      <c r="A59" s="109" t="s">
        <v>142</v>
      </c>
      <c r="B59" s="81"/>
      <c r="C59" s="304">
        <f t="shared" ref="C59:Q59" si="9">C57+C58</f>
        <v>71936.814946269646</v>
      </c>
      <c r="D59" s="110">
        <f t="shared" si="9"/>
        <v>73473.225163219264</v>
      </c>
      <c r="E59" s="110">
        <f t="shared" si="9"/>
        <v>74751.984249142974</v>
      </c>
      <c r="F59" s="110">
        <f t="shared" si="9"/>
        <v>76048.498265235161</v>
      </c>
      <c r="G59" s="110">
        <f t="shared" si="9"/>
        <v>77373.946755626472</v>
      </c>
      <c r="H59" s="110">
        <f t="shared" si="9"/>
        <v>78728.976749495894</v>
      </c>
      <c r="I59" s="110">
        <f t="shared" si="9"/>
        <v>80116.571544676204</v>
      </c>
      <c r="J59" s="110">
        <f t="shared" si="9"/>
        <v>81520.645076529676</v>
      </c>
      <c r="K59" s="110">
        <f t="shared" si="9"/>
        <v>82958.614213809604</v>
      </c>
      <c r="L59" s="110">
        <f t="shared" si="9"/>
        <v>84422.351965407288</v>
      </c>
      <c r="M59" s="110">
        <f t="shared" si="9"/>
        <v>85931.911885054447</v>
      </c>
      <c r="N59" s="110">
        <f t="shared" si="9"/>
        <v>87455.329369403655</v>
      </c>
      <c r="O59" s="110">
        <f t="shared" si="9"/>
        <v>89017.563903134287</v>
      </c>
      <c r="P59" s="110">
        <f t="shared" si="9"/>
        <v>90606.823039448587</v>
      </c>
      <c r="Q59" s="110">
        <f t="shared" si="9"/>
        <v>92250.46482849482</v>
      </c>
    </row>
    <row r="60" spans="1:17" collapsed="1" x14ac:dyDescent="0.2">
      <c r="A60" s="210" t="s">
        <v>241</v>
      </c>
      <c r="B60" s="352"/>
      <c r="C60" s="304">
        <f t="shared" ref="C60:Q60" si="10">C56+C59</f>
        <v>155781.1805799001</v>
      </c>
      <c r="D60" s="110">
        <f t="shared" si="10"/>
        <v>159778.96470826119</v>
      </c>
      <c r="E60" s="110">
        <f t="shared" si="10"/>
        <v>163230.48664081038</v>
      </c>
      <c r="F60" s="110">
        <f t="shared" si="10"/>
        <v>166665.01256576367</v>
      </c>
      <c r="G60" s="110">
        <f t="shared" si="10"/>
        <v>170148.47789421154</v>
      </c>
      <c r="H60" s="110">
        <f t="shared" si="10"/>
        <v>173903.4210468166</v>
      </c>
      <c r="I60" s="110">
        <f t="shared" si="10"/>
        <v>177524.40079122991</v>
      </c>
      <c r="J60" s="110">
        <f t="shared" si="10"/>
        <v>181161.44897624245</v>
      </c>
      <c r="K60" s="110">
        <f t="shared" si="10"/>
        <v>184895.95606129413</v>
      </c>
      <c r="L60" s="110">
        <f t="shared" si="10"/>
        <v>188701.51398811981</v>
      </c>
      <c r="M60" s="110">
        <f t="shared" si="10"/>
        <v>192641.14341533568</v>
      </c>
      <c r="N60" s="110">
        <f t="shared" si="10"/>
        <v>196593.20159233001</v>
      </c>
      <c r="O60" s="110">
        <f t="shared" si="10"/>
        <v>200669.5966496738</v>
      </c>
      <c r="P60" s="110">
        <f t="shared" si="10"/>
        <v>204828.414451221</v>
      </c>
      <c r="Q60" s="110">
        <f t="shared" si="10"/>
        <v>209153.05264147406</v>
      </c>
    </row>
    <row r="61" spans="1:17" x14ac:dyDescent="0.2">
      <c r="A61" s="73" t="s">
        <v>160</v>
      </c>
      <c r="B61" s="342"/>
      <c r="C61" s="306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1:17" hidden="1" outlineLevel="1" x14ac:dyDescent="0.2">
      <c r="A62" s="83" t="s">
        <v>140</v>
      </c>
      <c r="B62" s="60"/>
      <c r="C62" s="296">
        <f t="shared" ref="C62:Q62" si="11">-C48+C55</f>
        <v>1103.7463838160438</v>
      </c>
      <c r="D62" s="97">
        <f t="shared" si="11"/>
        <v>1235.6353692783814</v>
      </c>
      <c r="E62" s="97">
        <f t="shared" si="11"/>
        <v>1098.2692016348228</v>
      </c>
      <c r="F62" s="97">
        <f t="shared" si="11"/>
        <v>973.79744013735763</v>
      </c>
      <c r="G62" s="97">
        <f t="shared" si="11"/>
        <v>858.42693837360275</v>
      </c>
      <c r="H62" s="97">
        <f t="shared" si="11"/>
        <v>678.60041016228934</v>
      </c>
      <c r="I62" s="97">
        <f t="shared" si="11"/>
        <v>573.97177752386779</v>
      </c>
      <c r="J62" s="97">
        <f t="shared" si="11"/>
        <v>467.24569161160616</v>
      </c>
      <c r="K62" s="97">
        <f t="shared" si="11"/>
        <v>359.8359965171112</v>
      </c>
      <c r="L62" s="97">
        <f t="shared" si="11"/>
        <v>246.50659345001623</v>
      </c>
      <c r="M62" s="97">
        <f t="shared" si="11"/>
        <v>139.16951006620366</v>
      </c>
      <c r="N62" s="97">
        <f t="shared" si="11"/>
        <v>24.584241785189079</v>
      </c>
      <c r="O62" s="97">
        <f t="shared" si="11"/>
        <v>-93.476804640602495</v>
      </c>
      <c r="P62" s="97">
        <f t="shared" si="11"/>
        <v>-221.23083316526026</v>
      </c>
      <c r="Q62" s="97">
        <f t="shared" si="11"/>
        <v>-341.42550314270193</v>
      </c>
    </row>
    <row r="63" spans="1:17" hidden="1" outlineLevel="1" x14ac:dyDescent="0.2">
      <c r="A63" s="85" t="s">
        <v>141</v>
      </c>
      <c r="B63" s="76"/>
      <c r="C63" s="299">
        <f t="shared" ref="C63:Q63" si="12">-C51+C58</f>
        <v>-45828.483616183956</v>
      </c>
      <c r="D63" s="101">
        <f t="shared" si="12"/>
        <v>-47117.394630721625</v>
      </c>
      <c r="E63" s="101">
        <f t="shared" si="12"/>
        <v>-48703.976798365184</v>
      </c>
      <c r="F63" s="101">
        <f t="shared" si="12"/>
        <v>-50306.648879862652</v>
      </c>
      <c r="G63" s="101">
        <f t="shared" si="12"/>
        <v>-51929.783708026407</v>
      </c>
      <c r="H63" s="101">
        <f t="shared" si="12"/>
        <v>-53647.52984916573</v>
      </c>
      <c r="I63" s="101">
        <f t="shared" si="12"/>
        <v>-55320.836486990709</v>
      </c>
      <c r="J63" s="101">
        <f t="shared" si="12"/>
        <v>-57027.614138193247</v>
      </c>
      <c r="K63" s="101">
        <f t="shared" si="12"/>
        <v>-58767.076429883848</v>
      </c>
      <c r="L63" s="101">
        <f t="shared" si="12"/>
        <v>-60545.099481478974</v>
      </c>
      <c r="M63" s="101">
        <f t="shared" si="12"/>
        <v>-62350.424086361367</v>
      </c>
      <c r="N63" s="101">
        <f t="shared" si="12"/>
        <v>-64196.956626570929</v>
      </c>
      <c r="O63" s="101">
        <f t="shared" si="12"/>
        <v>-66081.603890363855</v>
      </c>
      <c r="P63" s="101">
        <f t="shared" si="12"/>
        <v>-68011.275860602997</v>
      </c>
      <c r="Q63" s="101">
        <f t="shared" si="12"/>
        <v>-69969.426831129182</v>
      </c>
    </row>
    <row r="64" spans="1:17" collapsed="1" x14ac:dyDescent="0.2">
      <c r="A64" s="111" t="s">
        <v>44</v>
      </c>
      <c r="B64" s="353"/>
      <c r="C64" s="307">
        <f t="shared" ref="C64:Q64" si="13">C62+C63</f>
        <v>-44724.737232367916</v>
      </c>
      <c r="D64" s="112">
        <f t="shared" si="13"/>
        <v>-45881.759261443243</v>
      </c>
      <c r="E64" s="112">
        <f t="shared" si="13"/>
        <v>-47605.707596730361</v>
      </c>
      <c r="F64" s="112">
        <f t="shared" si="13"/>
        <v>-49332.851439725295</v>
      </c>
      <c r="G64" s="112">
        <f t="shared" si="13"/>
        <v>-51071.356769652804</v>
      </c>
      <c r="H64" s="112">
        <f t="shared" si="13"/>
        <v>-52968.929439003441</v>
      </c>
      <c r="I64" s="112">
        <f t="shared" si="13"/>
        <v>-54746.864709466841</v>
      </c>
      <c r="J64" s="112">
        <f t="shared" si="13"/>
        <v>-56560.36844658164</v>
      </c>
      <c r="K64" s="112">
        <f t="shared" si="13"/>
        <v>-58407.240433366736</v>
      </c>
      <c r="L64" s="112">
        <f t="shared" si="13"/>
        <v>-60298.592888028958</v>
      </c>
      <c r="M64" s="112">
        <f t="shared" si="13"/>
        <v>-62211.254576295163</v>
      </c>
      <c r="N64" s="112">
        <f t="shared" si="13"/>
        <v>-64172.37238478574</v>
      </c>
      <c r="O64" s="112">
        <f t="shared" si="13"/>
        <v>-66175.080695004464</v>
      </c>
      <c r="P64" s="112">
        <f t="shared" si="13"/>
        <v>-68232.506693768257</v>
      </c>
      <c r="Q64" s="112">
        <f t="shared" si="13"/>
        <v>-70310.852334271884</v>
      </c>
    </row>
    <row r="65" spans="1:17" x14ac:dyDescent="0.2">
      <c r="A65" s="76"/>
      <c r="B65" s="76"/>
      <c r="C65" s="308"/>
      <c r="D65" s="189"/>
      <c r="E65" s="189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</row>
    <row r="66" spans="1:17" x14ac:dyDescent="0.2">
      <c r="A66" s="104" t="s">
        <v>130</v>
      </c>
      <c r="B66" s="350"/>
      <c r="C66" s="309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</row>
    <row r="67" spans="1:17" x14ac:dyDescent="0.2">
      <c r="A67" s="96" t="str">
        <f>A44</f>
        <v>Total Property Loss (Gain)</v>
      </c>
      <c r="B67" s="346"/>
      <c r="C67" s="296">
        <f t="shared" ref="C67:Q67" si="14">C41</f>
        <v>-4017.0821877319668</v>
      </c>
      <c r="D67" s="97">
        <f t="shared" si="14"/>
        <v>-3492.4760302955692</v>
      </c>
      <c r="E67" s="97">
        <f t="shared" si="14"/>
        <v>-2895.8097624592701</v>
      </c>
      <c r="F67" s="97">
        <f t="shared" si="14"/>
        <v>-2303.7200745110495</v>
      </c>
      <c r="G67" s="97">
        <f t="shared" si="14"/>
        <v>-1672.1610977356759</v>
      </c>
      <c r="H67" s="97">
        <f t="shared" si="14"/>
        <v>-1014.4731910119663</v>
      </c>
      <c r="I67" s="97">
        <f t="shared" si="14"/>
        <v>-306.46824967193243</v>
      </c>
      <c r="J67" s="97">
        <f t="shared" si="14"/>
        <v>383.55747744805194</v>
      </c>
      <c r="K67" s="97">
        <f t="shared" si="14"/>
        <v>1126.1412863772639</v>
      </c>
      <c r="L67" s="97">
        <f t="shared" si="14"/>
        <v>1899.3395188995019</v>
      </c>
      <c r="M67" s="97">
        <f t="shared" si="14"/>
        <v>2737.7455558766305</v>
      </c>
      <c r="N67" s="97">
        <f t="shared" si="14"/>
        <v>3542.5696806944106</v>
      </c>
      <c r="O67" s="97">
        <f t="shared" si="14"/>
        <v>4415.2217939620714</v>
      </c>
      <c r="P67" s="97">
        <f t="shared" si="14"/>
        <v>5323.7326654022545</v>
      </c>
      <c r="Q67" s="97">
        <f t="shared" si="14"/>
        <v>6314.8220540676521</v>
      </c>
    </row>
    <row r="68" spans="1:17" x14ac:dyDescent="0.2">
      <c r="A68" s="98" t="s">
        <v>131</v>
      </c>
      <c r="B68" s="348"/>
      <c r="C68" s="310">
        <f t="shared" ref="C68:Q68" si="15">C64</f>
        <v>-44724.737232367916</v>
      </c>
      <c r="D68" s="114">
        <f t="shared" si="15"/>
        <v>-45881.759261443243</v>
      </c>
      <c r="E68" s="114">
        <f t="shared" si="15"/>
        <v>-47605.707596730361</v>
      </c>
      <c r="F68" s="114">
        <f t="shared" si="15"/>
        <v>-49332.851439725295</v>
      </c>
      <c r="G68" s="114">
        <f t="shared" si="15"/>
        <v>-51071.356769652804</v>
      </c>
      <c r="H68" s="114">
        <f t="shared" si="15"/>
        <v>-52968.929439003441</v>
      </c>
      <c r="I68" s="114">
        <f t="shared" si="15"/>
        <v>-54746.864709466841</v>
      </c>
      <c r="J68" s="114">
        <f t="shared" si="15"/>
        <v>-56560.36844658164</v>
      </c>
      <c r="K68" s="114">
        <f t="shared" si="15"/>
        <v>-58407.240433366736</v>
      </c>
      <c r="L68" s="114">
        <f t="shared" si="15"/>
        <v>-60298.592888028958</v>
      </c>
      <c r="M68" s="114">
        <f t="shared" si="15"/>
        <v>-62211.254576295163</v>
      </c>
      <c r="N68" s="114">
        <f t="shared" si="15"/>
        <v>-64172.37238478574</v>
      </c>
      <c r="O68" s="114">
        <f t="shared" si="15"/>
        <v>-66175.080695004464</v>
      </c>
      <c r="P68" s="114">
        <f t="shared" si="15"/>
        <v>-68232.506693768257</v>
      </c>
      <c r="Q68" s="114">
        <f t="shared" si="15"/>
        <v>-70310.852334271884</v>
      </c>
    </row>
    <row r="69" spans="1:17" x14ac:dyDescent="0.2">
      <c r="A69" s="98"/>
      <c r="B69" s="348"/>
      <c r="C69" s="310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</row>
    <row r="70" spans="1:17" ht="15.75" x14ac:dyDescent="0.25">
      <c r="A70" s="115" t="s">
        <v>132</v>
      </c>
      <c r="B70" s="354"/>
      <c r="C70" s="311">
        <f t="shared" ref="C70:Q70" si="16">-(C67+C68)</f>
        <v>48741.819420099884</v>
      </c>
      <c r="D70" s="116">
        <f t="shared" si="16"/>
        <v>49374.235291738813</v>
      </c>
      <c r="E70" s="116">
        <f t="shared" si="16"/>
        <v>50501.517359189631</v>
      </c>
      <c r="F70" s="116">
        <f t="shared" si="16"/>
        <v>51636.571514236348</v>
      </c>
      <c r="G70" s="116">
        <f t="shared" si="16"/>
        <v>52743.51786738848</v>
      </c>
      <c r="H70" s="116">
        <f t="shared" si="16"/>
        <v>53983.402630015407</v>
      </c>
      <c r="I70" s="116">
        <f t="shared" si="16"/>
        <v>55053.332959138774</v>
      </c>
      <c r="J70" s="116">
        <f t="shared" si="16"/>
        <v>56176.810969133585</v>
      </c>
      <c r="K70" s="116">
        <f t="shared" si="16"/>
        <v>57281.099146989473</v>
      </c>
      <c r="L70" s="116">
        <f t="shared" si="16"/>
        <v>58399.253369129452</v>
      </c>
      <c r="M70" s="116">
        <f t="shared" si="16"/>
        <v>59473.509020418533</v>
      </c>
      <c r="N70" s="116">
        <f t="shared" si="16"/>
        <v>60629.802704091329</v>
      </c>
      <c r="O70" s="116">
        <f t="shared" si="16"/>
        <v>61759.858901042389</v>
      </c>
      <c r="P70" s="116">
        <f t="shared" si="16"/>
        <v>62908.774028366002</v>
      </c>
      <c r="Q70" s="116">
        <f t="shared" si="16"/>
        <v>63996.030280204228</v>
      </c>
    </row>
    <row r="71" spans="1:17" ht="15.75" x14ac:dyDescent="0.25">
      <c r="A71" s="117" t="s">
        <v>133</v>
      </c>
      <c r="B71" s="355"/>
      <c r="C71" s="312">
        <f>C70/'Input Property 3'!$B$64</f>
        <v>932.85778794449539</v>
      </c>
      <c r="D71" s="118">
        <f>D70/'Input Property 3'!$B$64</f>
        <v>944.96144099021649</v>
      </c>
      <c r="E71" s="118">
        <f>E70/'Input Property 3'!$B$64</f>
        <v>966.53621740075846</v>
      </c>
      <c r="F71" s="118">
        <f>F70/'Input Property 3'!$B$64</f>
        <v>988.25974189926023</v>
      </c>
      <c r="G71" s="118">
        <f>G70/'Input Property 3'!$B$64</f>
        <v>1009.4453180361431</v>
      </c>
      <c r="H71" s="118">
        <f>H70/'Input Property 3'!$B$64</f>
        <v>1033.175169952448</v>
      </c>
      <c r="I71" s="118">
        <f>I70/'Input Property 3'!$B$64</f>
        <v>1053.6523054380627</v>
      </c>
      <c r="J71" s="118">
        <f>J70/'Input Property 3'!$B$64</f>
        <v>1075.1542769212169</v>
      </c>
      <c r="K71" s="118">
        <f>K70/'Input Property 3'!$B$64</f>
        <v>1096.2889788897508</v>
      </c>
      <c r="L71" s="118">
        <f>L70/'Input Property 3'!$B$64</f>
        <v>1117.6890596962573</v>
      </c>
      <c r="M71" s="118">
        <f>M70/'Input Property 3'!$B$64</f>
        <v>1138.2489764673403</v>
      </c>
      <c r="N71" s="118">
        <f>N70/'Input Property 3'!$B$64</f>
        <v>1160.3789991213653</v>
      </c>
      <c r="O71" s="118">
        <f>O70/'Input Property 3'!$B$64</f>
        <v>1182.0068689194716</v>
      </c>
      <c r="P71" s="118">
        <f>P70/'Input Property 3'!$B$64</f>
        <v>1203.9956751840384</v>
      </c>
      <c r="Q71" s="118">
        <f>Q70/'Input Property 3'!$B$64</f>
        <v>1224.8044072766359</v>
      </c>
    </row>
    <row r="72" spans="1:17" x14ac:dyDescent="0.2">
      <c r="A72" s="76"/>
      <c r="B72" s="76"/>
      <c r="C72" s="308"/>
      <c r="D72" s="189"/>
      <c r="E72" s="189"/>
      <c r="F72" s="189"/>
      <c r="G72" s="189"/>
      <c r="H72" s="189"/>
      <c r="I72" s="189"/>
      <c r="J72" s="189"/>
      <c r="K72" s="189"/>
      <c r="L72" s="189"/>
      <c r="M72" s="189"/>
      <c r="N72" s="189"/>
      <c r="O72" s="189"/>
      <c r="P72" s="189"/>
      <c r="Q72" s="189"/>
    </row>
    <row r="73" spans="1:17" x14ac:dyDescent="0.2">
      <c r="A73" s="52" t="s">
        <v>134</v>
      </c>
      <c r="B73" s="52"/>
      <c r="C73" s="313">
        <f t="shared" ref="C73:Q73" si="17">C36</f>
        <v>8457.1428571428569</v>
      </c>
      <c r="D73" s="53">
        <f t="shared" si="17"/>
        <v>19276.41857142857</v>
      </c>
      <c r="E73" s="53">
        <f t="shared" si="17"/>
        <v>20085.259291428567</v>
      </c>
      <c r="F73" s="53">
        <f t="shared" si="17"/>
        <v>20809.29865264714</v>
      </c>
      <c r="G73" s="53">
        <f t="shared" si="17"/>
        <v>21620.861300100376</v>
      </c>
      <c r="H73" s="53">
        <f t="shared" si="17"/>
        <v>22464.074890804288</v>
      </c>
      <c r="I73" s="53">
        <f t="shared" si="17"/>
        <v>23406.670033230967</v>
      </c>
      <c r="J73" s="53">
        <f t="shared" si="17"/>
        <v>24250.440590195933</v>
      </c>
      <c r="K73" s="53">
        <f t="shared" si="17"/>
        <v>25196.207773213569</v>
      </c>
      <c r="L73" s="53">
        <f t="shared" si="17"/>
        <v>26178.859876368897</v>
      </c>
      <c r="M73" s="53">
        <f t="shared" si="17"/>
        <v>27277.32782012719</v>
      </c>
      <c r="N73" s="53">
        <f t="shared" si="17"/>
        <v>28260.628992597627</v>
      </c>
      <c r="O73" s="53">
        <f t="shared" si="17"/>
        <v>29362.793523308934</v>
      </c>
      <c r="P73" s="53">
        <f t="shared" si="17"/>
        <v>30507.942470717979</v>
      </c>
      <c r="Q73" s="53">
        <f t="shared" si="17"/>
        <v>31788.059213477904</v>
      </c>
    </row>
    <row r="74" spans="1:17" x14ac:dyDescent="0.2">
      <c r="A74" s="52" t="s">
        <v>135</v>
      </c>
      <c r="B74" s="356"/>
      <c r="C74" s="314">
        <f t="shared" ref="C74:Q74" si="18">IF(C68&lt;0,0,C68)</f>
        <v>0</v>
      </c>
      <c r="D74" s="54">
        <f t="shared" si="18"/>
        <v>0</v>
      </c>
      <c r="E74" s="54">
        <f t="shared" si="18"/>
        <v>0</v>
      </c>
      <c r="F74" s="54">
        <f t="shared" si="18"/>
        <v>0</v>
      </c>
      <c r="G74" s="54">
        <f t="shared" si="18"/>
        <v>0</v>
      </c>
      <c r="H74" s="54">
        <f t="shared" si="18"/>
        <v>0</v>
      </c>
      <c r="I74" s="54">
        <f t="shared" si="18"/>
        <v>0</v>
      </c>
      <c r="J74" s="54">
        <f t="shared" si="18"/>
        <v>0</v>
      </c>
      <c r="K74" s="54">
        <f t="shared" si="18"/>
        <v>0</v>
      </c>
      <c r="L74" s="54">
        <f t="shared" si="18"/>
        <v>0</v>
      </c>
      <c r="M74" s="54">
        <f t="shared" si="18"/>
        <v>0</v>
      </c>
      <c r="N74" s="54">
        <f t="shared" si="18"/>
        <v>0</v>
      </c>
      <c r="O74" s="54">
        <f t="shared" si="18"/>
        <v>0</v>
      </c>
      <c r="P74" s="54">
        <f t="shared" si="18"/>
        <v>0</v>
      </c>
      <c r="Q74" s="54">
        <f t="shared" si="18"/>
        <v>0</v>
      </c>
    </row>
    <row r="75" spans="1:17" x14ac:dyDescent="0.2">
      <c r="A75" s="52" t="s">
        <v>136</v>
      </c>
      <c r="B75" s="357"/>
      <c r="C75" s="315">
        <f t="shared" ref="C75:Q75" si="19">IF(C70&gt;0,C70,0)</f>
        <v>48741.819420099884</v>
      </c>
      <c r="D75" s="59">
        <f t="shared" si="19"/>
        <v>49374.235291738813</v>
      </c>
      <c r="E75" s="59">
        <f t="shared" si="19"/>
        <v>50501.517359189631</v>
      </c>
      <c r="F75" s="59">
        <f t="shared" si="19"/>
        <v>51636.571514236348</v>
      </c>
      <c r="G75" s="59">
        <f t="shared" si="19"/>
        <v>52743.51786738848</v>
      </c>
      <c r="H75" s="59">
        <f t="shared" si="19"/>
        <v>53983.402630015407</v>
      </c>
      <c r="I75" s="59">
        <f t="shared" si="19"/>
        <v>55053.332959138774</v>
      </c>
      <c r="J75" s="59">
        <f t="shared" si="19"/>
        <v>56176.810969133585</v>
      </c>
      <c r="K75" s="59">
        <f t="shared" si="19"/>
        <v>57281.099146989473</v>
      </c>
      <c r="L75" s="59">
        <f t="shared" si="19"/>
        <v>58399.253369129452</v>
      </c>
      <c r="M75" s="59">
        <f t="shared" si="19"/>
        <v>59473.509020418533</v>
      </c>
      <c r="N75" s="59">
        <f t="shared" si="19"/>
        <v>60629.802704091329</v>
      </c>
      <c r="O75" s="59">
        <f t="shared" si="19"/>
        <v>61759.858901042389</v>
      </c>
      <c r="P75" s="59">
        <f t="shared" si="19"/>
        <v>62908.774028366002</v>
      </c>
      <c r="Q75" s="59">
        <f t="shared" si="19"/>
        <v>63996.030280204228</v>
      </c>
    </row>
    <row r="76" spans="1:17" ht="13.5" thickBot="1" x14ac:dyDescent="0.25">
      <c r="A76" s="48" t="s">
        <v>86</v>
      </c>
      <c r="B76" s="358"/>
      <c r="C76" s="316">
        <f t="shared" ref="C76:Q76" si="20">SUM(C73:C75)</f>
        <v>57198.962277242739</v>
      </c>
      <c r="D76" s="61">
        <f t="shared" si="20"/>
        <v>68650.65386316739</v>
      </c>
      <c r="E76" s="61">
        <f t="shared" si="20"/>
        <v>70586.776650618194</v>
      </c>
      <c r="F76" s="61">
        <f t="shared" si="20"/>
        <v>72445.870166883484</v>
      </c>
      <c r="G76" s="61">
        <f t="shared" si="20"/>
        <v>74364.379167488863</v>
      </c>
      <c r="H76" s="61">
        <f t="shared" si="20"/>
        <v>76447.477520819695</v>
      </c>
      <c r="I76" s="61">
        <f t="shared" si="20"/>
        <v>78460.002992369744</v>
      </c>
      <c r="J76" s="61">
        <f t="shared" si="20"/>
        <v>80427.25155932951</v>
      </c>
      <c r="K76" s="61">
        <f t="shared" si="20"/>
        <v>82477.306920203046</v>
      </c>
      <c r="L76" s="61">
        <f t="shared" si="20"/>
        <v>84578.113245498345</v>
      </c>
      <c r="M76" s="61">
        <f t="shared" si="20"/>
        <v>86750.83684054573</v>
      </c>
      <c r="N76" s="61">
        <f t="shared" si="20"/>
        <v>88890.43169668896</v>
      </c>
      <c r="O76" s="61">
        <f t="shared" si="20"/>
        <v>91122.652424351327</v>
      </c>
      <c r="P76" s="61">
        <f t="shared" si="20"/>
        <v>93416.716499083981</v>
      </c>
      <c r="Q76" s="61">
        <f t="shared" si="20"/>
        <v>95784.089493682128</v>
      </c>
    </row>
    <row r="77" spans="1:17" ht="13.5" thickTop="1" x14ac:dyDescent="0.2">
      <c r="B77" s="359"/>
      <c r="C77" s="198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</row>
    <row r="78" spans="1:17" x14ac:dyDescent="0.2">
      <c r="A78" s="46" t="s">
        <v>159</v>
      </c>
      <c r="C78" s="317">
        <f>'Data Property 3'!C161-'Input Property 3'!B20</f>
        <v>174</v>
      </c>
      <c r="D78" s="68">
        <f>'Data Property 3'!D161-'Data Property 3'!C161</f>
        <v>365</v>
      </c>
      <c r="E78" s="68">
        <f>'Data Property 3'!E161-'Data Property 3'!D161</f>
        <v>366</v>
      </c>
      <c r="F78" s="68">
        <f>'Data Property 3'!F161-'Data Property 3'!E161</f>
        <v>365</v>
      </c>
      <c r="G78" s="68">
        <f>'Data Property 3'!G161-'Data Property 3'!F161</f>
        <v>365</v>
      </c>
      <c r="H78" s="68">
        <f>'Data Property 3'!H161-'Data Property 3'!G161</f>
        <v>365</v>
      </c>
      <c r="I78" s="68">
        <f>'Data Property 3'!I161-'Data Property 3'!H161</f>
        <v>366</v>
      </c>
      <c r="J78" s="68">
        <f>'Data Property 3'!J161-'Data Property 3'!I161</f>
        <v>365</v>
      </c>
      <c r="K78" s="68">
        <f>'Data Property 3'!K161-'Data Property 3'!J161</f>
        <v>365</v>
      </c>
      <c r="L78" s="68">
        <f>'Data Property 3'!L161-'Data Property 3'!K161</f>
        <v>365</v>
      </c>
      <c r="M78" s="68">
        <f>'Data Property 3'!M161-'Data Property 3'!L161</f>
        <v>366</v>
      </c>
      <c r="N78" s="68">
        <f>'Data Property 3'!N161-'Data Property 3'!M161</f>
        <v>365</v>
      </c>
      <c r="O78" s="68">
        <f>'Data Property 3'!O161-'Data Property 3'!N161</f>
        <v>365</v>
      </c>
      <c r="P78" s="68">
        <f>'Data Property 3'!P161-'Data Property 3'!O161</f>
        <v>365</v>
      </c>
      <c r="Q78" s="68">
        <f>'Data Property 3'!Q161-'Data Property 3'!P161</f>
        <v>366</v>
      </c>
    </row>
    <row r="79" spans="1:17" x14ac:dyDescent="0.2">
      <c r="A79" s="46" t="s">
        <v>152</v>
      </c>
      <c r="C79" s="318">
        <f t="shared" ref="C79:Q79" si="21">C78-(C35*7)</f>
        <v>-176</v>
      </c>
      <c r="D79" s="65">
        <f t="shared" si="21"/>
        <v>15</v>
      </c>
      <c r="E79" s="65">
        <f t="shared" si="21"/>
        <v>16</v>
      </c>
      <c r="F79" s="65">
        <f t="shared" si="21"/>
        <v>15</v>
      </c>
      <c r="G79" s="65">
        <f t="shared" si="21"/>
        <v>15</v>
      </c>
      <c r="H79" s="65">
        <f t="shared" si="21"/>
        <v>15</v>
      </c>
      <c r="I79" s="65">
        <f t="shared" si="21"/>
        <v>16</v>
      </c>
      <c r="J79" s="65">
        <f t="shared" si="21"/>
        <v>15</v>
      </c>
      <c r="K79" s="65">
        <f t="shared" si="21"/>
        <v>15</v>
      </c>
      <c r="L79" s="65">
        <f t="shared" si="21"/>
        <v>15</v>
      </c>
      <c r="M79" s="65">
        <f t="shared" si="21"/>
        <v>16</v>
      </c>
      <c r="N79" s="65">
        <f t="shared" si="21"/>
        <v>15</v>
      </c>
      <c r="O79" s="65">
        <f t="shared" si="21"/>
        <v>15</v>
      </c>
      <c r="P79" s="65">
        <f t="shared" si="21"/>
        <v>15</v>
      </c>
      <c r="Q79" s="65">
        <f t="shared" si="21"/>
        <v>16</v>
      </c>
    </row>
    <row r="80" spans="1:17" x14ac:dyDescent="0.2">
      <c r="A80" s="49" t="s">
        <v>116</v>
      </c>
      <c r="B80" s="49"/>
      <c r="C80" s="319">
        <f>C40/'Input Property 3'!$B$5*365/C78</f>
        <v>4.7616711738149686E-2</v>
      </c>
      <c r="D80" s="50">
        <f>D40/'Input Property 3'!$B$5</f>
        <v>5.1739051913542611E-2</v>
      </c>
      <c r="E80" s="50">
        <f>E40/'Input Property 3'!$B$5</f>
        <v>5.3910028428023102E-2</v>
      </c>
      <c r="F80" s="50">
        <f>F40/'Input Property 3'!$B$5</f>
        <v>5.5853393060759426E-2</v>
      </c>
      <c r="G80" s="50">
        <f>G40/'Input Property 3'!$B$5</f>
        <v>5.8031675390129038E-2</v>
      </c>
      <c r="H80" s="50">
        <f>H40/'Input Property 3'!$B$5</f>
        <v>6.0294910730344063E-2</v>
      </c>
      <c r="I80" s="50">
        <f>I40/'Input Property 3'!$B$5</f>
        <v>6.2824892055804188E-2</v>
      </c>
      <c r="J80" s="50">
        <f>J40/'Input Property 3'!$B$5</f>
        <v>6.5089622326531746E-2</v>
      </c>
      <c r="K80" s="50">
        <f>K40/'Input Property 3'!$B$5</f>
        <v>6.7628117597266474E-2</v>
      </c>
      <c r="L80" s="50">
        <f>L40/'Input Property 3'!$B$5</f>
        <v>7.0265614183559866E-2</v>
      </c>
      <c r="M80" s="50">
        <f>M40/'Input Property 3'!$B$5</f>
        <v>7.321396736217943E-2</v>
      </c>
      <c r="N80" s="50">
        <f>N40/'Input Property 3'!$B$5</f>
        <v>7.5853206089050718E-2</v>
      </c>
      <c r="O80" s="50">
        <f>O40/'Input Property 3'!$B$5</f>
        <v>7.8811481126523697E-2</v>
      </c>
      <c r="P80" s="50">
        <f>P40/'Input Property 3'!$B$5</f>
        <v>8.1885128890458111E-2</v>
      </c>
      <c r="Q80" s="50">
        <f>Q40/'Input Property 3'!$B$5</f>
        <v>8.5321038230340346E-2</v>
      </c>
    </row>
    <row r="81" spans="1:10" x14ac:dyDescent="0.2">
      <c r="A81" s="76"/>
      <c r="B81" s="76"/>
      <c r="C81" s="308"/>
      <c r="D81" s="204"/>
      <c r="E81" s="252"/>
      <c r="F81" s="253"/>
      <c r="G81" s="205"/>
      <c r="H81" s="206"/>
      <c r="I81" s="207"/>
      <c r="J81" s="76"/>
    </row>
    <row r="82" spans="1:10" x14ac:dyDescent="0.2">
      <c r="A82" s="76"/>
      <c r="B82" s="76"/>
      <c r="C82" s="308"/>
      <c r="D82" s="204"/>
      <c r="E82" s="252"/>
      <c r="F82" s="253"/>
      <c r="G82" s="205"/>
      <c r="H82" s="206"/>
      <c r="I82" s="207"/>
      <c r="J82" s="76"/>
    </row>
    <row r="83" spans="1:10" x14ac:dyDescent="0.2">
      <c r="A83" s="76"/>
      <c r="B83" s="76"/>
      <c r="C83" s="308"/>
      <c r="D83" s="204"/>
      <c r="E83" s="252"/>
      <c r="F83" s="253"/>
      <c r="G83" s="205"/>
      <c r="H83" s="206"/>
      <c r="I83" s="207"/>
      <c r="J83" s="76"/>
    </row>
    <row r="84" spans="1:10" x14ac:dyDescent="0.2">
      <c r="A84" s="76"/>
      <c r="B84" s="76"/>
      <c r="C84" s="308"/>
      <c r="D84" s="204"/>
      <c r="E84" s="252"/>
      <c r="F84" s="253"/>
      <c r="G84" s="205"/>
      <c r="H84" s="206"/>
      <c r="I84" s="207"/>
      <c r="J84" s="76"/>
    </row>
    <row r="85" spans="1:10" x14ac:dyDescent="0.2">
      <c r="A85" s="76"/>
      <c r="B85" s="76"/>
      <c r="C85" s="308"/>
      <c r="D85" s="204"/>
      <c r="E85" s="252"/>
      <c r="F85" s="253"/>
      <c r="G85" s="205"/>
      <c r="H85" s="206"/>
      <c r="I85" s="207"/>
      <c r="J85" s="76"/>
    </row>
    <row r="86" spans="1:10" x14ac:dyDescent="0.2">
      <c r="A86" s="76"/>
      <c r="B86" s="76"/>
      <c r="C86" s="308"/>
      <c r="D86" s="204"/>
      <c r="E86" s="252"/>
      <c r="F86" s="253"/>
      <c r="G86" s="205"/>
      <c r="H86" s="206"/>
      <c r="I86" s="207"/>
      <c r="J86" s="76"/>
    </row>
    <row r="87" spans="1:10" x14ac:dyDescent="0.2">
      <c r="A87" s="76"/>
      <c r="B87" s="76"/>
      <c r="C87" s="308"/>
      <c r="D87" s="204"/>
      <c r="E87" s="252"/>
      <c r="F87" s="253"/>
      <c r="G87" s="205"/>
      <c r="H87" s="206"/>
      <c r="I87" s="207"/>
      <c r="J87" s="76"/>
    </row>
    <row r="88" spans="1:10" x14ac:dyDescent="0.2">
      <c r="A88" s="76"/>
      <c r="B88" s="76"/>
      <c r="C88" s="308"/>
      <c r="D88" s="204"/>
      <c r="E88" s="252"/>
      <c r="F88" s="253"/>
      <c r="G88" s="205"/>
      <c r="H88" s="206"/>
      <c r="I88" s="207"/>
      <c r="J88" s="76"/>
    </row>
    <row r="89" spans="1:10" x14ac:dyDescent="0.2">
      <c r="A89" s="76"/>
      <c r="B89" s="76"/>
      <c r="C89" s="308"/>
      <c r="D89" s="204"/>
      <c r="E89" s="252"/>
      <c r="F89" s="253"/>
      <c r="G89" s="205"/>
      <c r="H89" s="206"/>
      <c r="I89" s="207"/>
      <c r="J89" s="76"/>
    </row>
    <row r="90" spans="1:10" x14ac:dyDescent="0.2">
      <c r="A90" s="76"/>
      <c r="B90" s="76"/>
      <c r="C90" s="308"/>
      <c r="D90" s="204"/>
      <c r="E90" s="252"/>
      <c r="F90" s="253"/>
      <c r="G90" s="205"/>
      <c r="H90" s="206"/>
      <c r="I90" s="207"/>
      <c r="J90" s="76"/>
    </row>
    <row r="91" spans="1:10" x14ac:dyDescent="0.2">
      <c r="A91" s="76"/>
      <c r="B91" s="76"/>
      <c r="C91" s="308"/>
      <c r="D91" s="204"/>
      <c r="E91" s="252"/>
      <c r="F91" s="253"/>
      <c r="G91" s="205"/>
      <c r="H91" s="206"/>
      <c r="I91" s="207"/>
      <c r="J91" s="76"/>
    </row>
    <row r="92" spans="1:10" x14ac:dyDescent="0.2">
      <c r="A92" s="76"/>
      <c r="B92" s="76"/>
      <c r="C92" s="308"/>
      <c r="D92" s="204"/>
      <c r="E92" s="252"/>
      <c r="F92" s="253"/>
      <c r="G92" s="205"/>
      <c r="H92" s="206"/>
      <c r="I92" s="207"/>
      <c r="J92" s="76"/>
    </row>
    <row r="93" spans="1:10" x14ac:dyDescent="0.2">
      <c r="A93" s="76"/>
      <c r="B93" s="76"/>
      <c r="C93" s="308"/>
      <c r="D93" s="204"/>
      <c r="E93" s="252"/>
      <c r="F93" s="253"/>
      <c r="G93" s="205"/>
      <c r="H93" s="206"/>
      <c r="I93" s="207"/>
      <c r="J93" s="76"/>
    </row>
    <row r="94" spans="1:10" x14ac:dyDescent="0.2">
      <c r="A94" s="76"/>
      <c r="B94" s="76"/>
      <c r="C94" s="308"/>
      <c r="D94" s="204"/>
      <c r="E94" s="252"/>
      <c r="F94" s="253"/>
      <c r="G94" s="205"/>
      <c r="H94" s="206"/>
      <c r="I94" s="207"/>
      <c r="J94" s="76"/>
    </row>
    <row r="95" spans="1:10" x14ac:dyDescent="0.2">
      <c r="A95" s="76"/>
      <c r="B95" s="76"/>
      <c r="C95" s="308"/>
      <c r="D95" s="204"/>
      <c r="E95" s="252"/>
      <c r="F95" s="253"/>
      <c r="G95" s="205"/>
      <c r="H95" s="206"/>
      <c r="I95" s="207"/>
      <c r="J95" s="76"/>
    </row>
    <row r="96" spans="1:10" x14ac:dyDescent="0.2">
      <c r="A96" s="76"/>
      <c r="B96" s="76"/>
      <c r="C96" s="308"/>
      <c r="D96" s="204"/>
      <c r="E96" s="252"/>
      <c r="F96" s="253"/>
      <c r="G96" s="205"/>
      <c r="H96" s="206"/>
      <c r="I96" s="207"/>
      <c r="J96" s="76"/>
    </row>
    <row r="97" spans="1:17" s="76" customFormat="1" x14ac:dyDescent="0.2">
      <c r="C97" s="308"/>
      <c r="D97" s="204"/>
      <c r="E97" s="252"/>
      <c r="F97" s="253"/>
      <c r="G97" s="205"/>
      <c r="H97" s="206"/>
      <c r="I97" s="207"/>
    </row>
    <row r="98" spans="1:17" s="374" customFormat="1" ht="18" x14ac:dyDescent="0.25">
      <c r="A98" s="375" t="s">
        <v>249</v>
      </c>
      <c r="B98" s="375"/>
      <c r="C98" s="376"/>
      <c r="D98" s="377"/>
      <c r="E98" s="377"/>
      <c r="F98" s="377"/>
      <c r="G98" s="377"/>
      <c r="H98" s="377"/>
      <c r="I98" s="377"/>
      <c r="J98" s="377"/>
      <c r="K98" s="377"/>
      <c r="L98" s="377"/>
      <c r="M98" s="377"/>
      <c r="N98" s="377"/>
      <c r="O98" s="377"/>
      <c r="P98" s="377"/>
      <c r="Q98" s="377"/>
    </row>
    <row r="99" spans="1:17" s="60" customFormat="1" x14ac:dyDescent="0.2">
      <c r="C99" s="292"/>
    </row>
    <row r="100" spans="1:17" x14ac:dyDescent="0.2">
      <c r="A100" s="129"/>
      <c r="B100" s="129"/>
      <c r="C100" s="321" t="s">
        <v>95</v>
      </c>
      <c r="D100" s="130" t="s">
        <v>96</v>
      </c>
      <c r="E100" s="130" t="s">
        <v>97</v>
      </c>
      <c r="F100" s="130" t="s">
        <v>98</v>
      </c>
      <c r="G100" s="130" t="s">
        <v>99</v>
      </c>
      <c r="H100" s="130" t="s">
        <v>100</v>
      </c>
      <c r="I100" s="130" t="s">
        <v>101</v>
      </c>
      <c r="J100" s="130" t="s">
        <v>102</v>
      </c>
      <c r="K100" s="130" t="s">
        <v>103</v>
      </c>
      <c r="L100" s="130" t="s">
        <v>104</v>
      </c>
      <c r="M100" s="130" t="s">
        <v>105</v>
      </c>
      <c r="N100" s="130" t="s">
        <v>106</v>
      </c>
      <c r="O100" s="130" t="s">
        <v>107</v>
      </c>
      <c r="P100" s="130" t="s">
        <v>108</v>
      </c>
      <c r="Q100" s="130" t="s">
        <v>109</v>
      </c>
    </row>
    <row r="101" spans="1:17" x14ac:dyDescent="0.2">
      <c r="A101" s="131" t="s">
        <v>94</v>
      </c>
      <c r="B101" s="131"/>
      <c r="C101" s="322"/>
      <c r="D101" s="260"/>
      <c r="E101" s="260"/>
      <c r="F101" s="260"/>
      <c r="G101" s="260"/>
      <c r="H101" s="260"/>
      <c r="I101" s="260"/>
      <c r="J101" s="260"/>
      <c r="K101" s="260"/>
      <c r="L101" s="260"/>
      <c r="M101" s="260"/>
      <c r="N101" s="260"/>
      <c r="O101" s="260"/>
      <c r="P101" s="260"/>
      <c r="Q101" s="260"/>
    </row>
    <row r="102" spans="1:17" x14ac:dyDescent="0.2">
      <c r="A102" s="132" t="s">
        <v>10</v>
      </c>
      <c r="B102" s="132"/>
      <c r="C102" s="323">
        <f>'Input Property 3'!B3+(('Input Property 3'!B3*'Input Property 3'!B52)*('Data Property 3'!C162/365))</f>
        <v>361679.45205479453</v>
      </c>
      <c r="D102" s="261">
        <f>C102+((C102*'Input Property 3'!C52)*('Data Property 3'!D162/('Data Property 3'!D161-'Data Property 3'!C161)))</f>
        <v>386997.01369863015</v>
      </c>
      <c r="E102" s="261">
        <f>D102+((D102*'Input Property 3'!D52)*('Data Property 3'!E162/('Data Property 3'!E161-'Data Property 3'!D161)))</f>
        <v>414086.80465753429</v>
      </c>
      <c r="F102" s="261">
        <f>E102+((E102*'Input Property 3'!E52)*('Data Property 3'!F162/('Data Property 3'!F161-'Data Property 3'!E161)))</f>
        <v>443072.88098356168</v>
      </c>
      <c r="G102" s="261">
        <f>F102+((F102*'Input Property 3'!F52)*('Data Property 3'!G162/('Data Property 3'!G161-'Data Property 3'!F161)))</f>
        <v>474087.98265241098</v>
      </c>
      <c r="H102" s="261">
        <f>G102+((G102*'Input Property 3'!G52)*('Data Property 3'!H162/('Data Property 3'!H161-'Data Property 3'!G161)))</f>
        <v>507274.14143807977</v>
      </c>
      <c r="I102" s="261">
        <f>H102+((H102*'Input Property 3'!H52)*('Data Property 3'!I162/('Data Property 3'!I161-'Data Property 3'!H161)))</f>
        <v>542783.33133874531</v>
      </c>
      <c r="J102" s="261">
        <f>I102+((I102*'Input Property 3'!I52)*('Data Property 3'!J162/('Data Property 3'!J161-'Data Property 3'!I161)))</f>
        <v>580778.16453245748</v>
      </c>
      <c r="K102" s="261">
        <f>J102+((J102*'Input Property 3'!J52)*('Data Property 3'!K162/('Data Property 3'!K161-'Data Property 3'!J161)))</f>
        <v>621432.63604972954</v>
      </c>
      <c r="L102" s="261">
        <f>K102+((K102*'Input Property 3'!K52)*('Data Property 3'!L162/('Data Property 3'!L161-'Data Property 3'!K161)))</f>
        <v>664932.92057321058</v>
      </c>
      <c r="M102" s="261">
        <f>L102+((L102*'Input Property 3'!L52)*('Data Property 3'!M162/('Data Property 3'!M161-'Data Property 3'!L161)))</f>
        <v>711478.22501333535</v>
      </c>
      <c r="N102" s="261">
        <f>M102+((M102*'Input Property 3'!M52)*('Data Property 3'!N162/('Data Property 3'!N161-'Data Property 3'!M161)))</f>
        <v>761281.70076426887</v>
      </c>
      <c r="O102" s="261">
        <f>N102+((N102*'Input Property 3'!N52)*('Data Property 3'!O162/('Data Property 3'!O161-'Data Property 3'!N161)))</f>
        <v>814571.41981776769</v>
      </c>
      <c r="P102" s="261">
        <f>O102+((O102*'Input Property 3'!O52)*('Data Property 3'!P162/('Data Property 3'!P161-'Data Property 3'!O161)))</f>
        <v>871591.41920501145</v>
      </c>
      <c r="Q102" s="261">
        <f>P102+((P102*'Input Property 3'!P52)*('Data Property 3'!Q162/('Data Property 3'!Q161-'Data Property 3'!P161)))</f>
        <v>932602.81854936224</v>
      </c>
    </row>
    <row r="103" spans="1:17" x14ac:dyDescent="0.2">
      <c r="A103" s="132" t="s">
        <v>39</v>
      </c>
      <c r="B103" s="132"/>
      <c r="C103" s="323">
        <f>'Input Property 3'!B14</f>
        <v>311160</v>
      </c>
      <c r="D103" s="261">
        <f>IF('Input Property 3'!$B$33&gt;'Data Property 3'!C161,C103,0)</f>
        <v>311160</v>
      </c>
      <c r="E103" s="261">
        <f>IF('Input Property 3'!$B$33&gt;'Data Property 3'!D161,D103,0)</f>
        <v>311160</v>
      </c>
      <c r="F103" s="261">
        <f>IF('Input Property 3'!$B$33&gt;'Data Property 3'!E161,E103,0)</f>
        <v>311160</v>
      </c>
      <c r="G103" s="261">
        <f>IF('Input Property 3'!$B$33&gt;'Data Property 3'!F161,F103,0)</f>
        <v>311160</v>
      </c>
      <c r="H103" s="261">
        <f>IF('Input Property 3'!$B$33&gt;'Data Property 3'!G161,G103,0)</f>
        <v>311160</v>
      </c>
      <c r="I103" s="261">
        <f>IF('Input Property 3'!$B$33&gt;'Data Property 3'!H161,H103,0)</f>
        <v>311160</v>
      </c>
      <c r="J103" s="261">
        <f>IF('Input Property 3'!$B$33&gt;'Data Property 3'!I161,I103,0)</f>
        <v>311160</v>
      </c>
      <c r="K103" s="261">
        <f>IF('Input Property 3'!$B$33&gt;'Data Property 3'!J161,J103,0)</f>
        <v>311160</v>
      </c>
      <c r="L103" s="261">
        <f t="shared" ref="L103:Q103" si="22">K103</f>
        <v>311160</v>
      </c>
      <c r="M103" s="261">
        <f t="shared" si="22"/>
        <v>311160</v>
      </c>
      <c r="N103" s="261">
        <f t="shared" si="22"/>
        <v>311160</v>
      </c>
      <c r="O103" s="261">
        <f t="shared" si="22"/>
        <v>311160</v>
      </c>
      <c r="P103" s="261">
        <f t="shared" si="22"/>
        <v>311160</v>
      </c>
      <c r="Q103" s="261">
        <f t="shared" si="22"/>
        <v>311160</v>
      </c>
    </row>
    <row r="104" spans="1:17" x14ac:dyDescent="0.2">
      <c r="A104" s="248" t="s">
        <v>11</v>
      </c>
      <c r="B104" s="248"/>
      <c r="C104" s="323">
        <f>'Input Property 3'!$B$4</f>
        <v>60000</v>
      </c>
      <c r="D104" s="261">
        <f>'Input Property 3'!$B$4</f>
        <v>60000</v>
      </c>
      <c r="E104" s="261">
        <f>'Input Property 3'!$B$4</f>
        <v>60000</v>
      </c>
      <c r="F104" s="261">
        <f>'Input Property 3'!$B$4</f>
        <v>60000</v>
      </c>
      <c r="G104" s="261">
        <f>'Input Property 3'!$B$4</f>
        <v>60000</v>
      </c>
      <c r="H104" s="261">
        <f>'Input Property 3'!$B$4</f>
        <v>60000</v>
      </c>
      <c r="I104" s="261">
        <f>'Input Property 3'!$B$4</f>
        <v>60000</v>
      </c>
      <c r="J104" s="261">
        <f>'Input Property 3'!$B$4</f>
        <v>60000</v>
      </c>
      <c r="K104" s="261">
        <f>'Input Property 3'!$B$4</f>
        <v>60000</v>
      </c>
      <c r="L104" s="261">
        <f>'Input Property 3'!$B$4</f>
        <v>60000</v>
      </c>
      <c r="M104" s="261">
        <f>'Input Property 3'!$B$4</f>
        <v>60000</v>
      </c>
      <c r="N104" s="261">
        <f>'Input Property 3'!$B$4</f>
        <v>60000</v>
      </c>
      <c r="O104" s="261">
        <f>'Input Property 3'!$B$4</f>
        <v>60000</v>
      </c>
      <c r="P104" s="261">
        <f>'Input Property 3'!$B$4</f>
        <v>60000</v>
      </c>
      <c r="Q104" s="261">
        <f>'Input Property 3'!$B$4</f>
        <v>60000</v>
      </c>
    </row>
    <row r="105" spans="1:17" x14ac:dyDescent="0.2">
      <c r="A105" s="132" t="s">
        <v>84</v>
      </c>
      <c r="B105" s="132"/>
      <c r="C105" s="324">
        <f t="shared" ref="C105:Q105" si="23">C103/C102</f>
        <v>0.86031981698772086</v>
      </c>
      <c r="D105" s="262">
        <f t="shared" si="23"/>
        <v>0.8040372121380569</v>
      </c>
      <c r="E105" s="262">
        <f t="shared" si="23"/>
        <v>0.75143664685799705</v>
      </c>
      <c r="F105" s="262">
        <f t="shared" si="23"/>
        <v>0.70227724005420289</v>
      </c>
      <c r="G105" s="262">
        <f t="shared" si="23"/>
        <v>0.6563338692095354</v>
      </c>
      <c r="H105" s="262">
        <f t="shared" si="23"/>
        <v>0.61339613944816396</v>
      </c>
      <c r="I105" s="262">
        <f t="shared" si="23"/>
        <v>0.57326742004501308</v>
      </c>
      <c r="J105" s="262">
        <f t="shared" si="23"/>
        <v>0.53576394396730187</v>
      </c>
      <c r="K105" s="262">
        <f t="shared" si="23"/>
        <v>0.50071396632458121</v>
      </c>
      <c r="L105" s="262">
        <f t="shared" si="23"/>
        <v>0.46795697787344037</v>
      </c>
      <c r="M105" s="262">
        <f t="shared" si="23"/>
        <v>0.43734296997517791</v>
      </c>
      <c r="N105" s="262">
        <f t="shared" si="23"/>
        <v>0.40873174764035319</v>
      </c>
      <c r="O105" s="262">
        <f t="shared" si="23"/>
        <v>0.38199228751434877</v>
      </c>
      <c r="P105" s="262">
        <f t="shared" si="23"/>
        <v>0.35700213786387736</v>
      </c>
      <c r="Q105" s="262">
        <f t="shared" si="23"/>
        <v>0.33364685781670778</v>
      </c>
    </row>
    <row r="106" spans="1:17" x14ac:dyDescent="0.2">
      <c r="A106" s="132" t="s">
        <v>110</v>
      </c>
      <c r="B106" s="132"/>
      <c r="C106" s="325">
        <f t="shared" ref="C106:Q106" si="24">C102-C103</f>
        <v>50519.452054794529</v>
      </c>
      <c r="D106" s="263">
        <f t="shared" si="24"/>
        <v>75837.013698630151</v>
      </c>
      <c r="E106" s="263">
        <f t="shared" si="24"/>
        <v>102926.80465753429</v>
      </c>
      <c r="F106" s="263">
        <f t="shared" si="24"/>
        <v>131912.88098356168</v>
      </c>
      <c r="G106" s="263">
        <f t="shared" si="24"/>
        <v>162927.98265241098</v>
      </c>
      <c r="H106" s="263">
        <f t="shared" si="24"/>
        <v>196114.14143807977</v>
      </c>
      <c r="I106" s="263">
        <f t="shared" si="24"/>
        <v>231623.33133874531</v>
      </c>
      <c r="J106" s="263">
        <f t="shared" si="24"/>
        <v>269618.16453245748</v>
      </c>
      <c r="K106" s="263">
        <f t="shared" si="24"/>
        <v>310272.63604972954</v>
      </c>
      <c r="L106" s="263">
        <f t="shared" si="24"/>
        <v>353772.92057321058</v>
      </c>
      <c r="M106" s="263">
        <f t="shared" si="24"/>
        <v>400318.22501333535</v>
      </c>
      <c r="N106" s="263">
        <f t="shared" si="24"/>
        <v>450121.70076426887</v>
      </c>
      <c r="O106" s="263">
        <f t="shared" si="24"/>
        <v>503411.41981776769</v>
      </c>
      <c r="P106" s="263">
        <f t="shared" si="24"/>
        <v>560431.41920501145</v>
      </c>
      <c r="Q106" s="263">
        <f t="shared" si="24"/>
        <v>621442.81854936224</v>
      </c>
    </row>
    <row r="107" spans="1:17" ht="22.5" x14ac:dyDescent="0.2">
      <c r="A107" s="133" t="s">
        <v>111</v>
      </c>
      <c r="B107" s="133"/>
      <c r="C107" s="325">
        <f>(C102*'Input Property 3'!B56)-C103</f>
        <v>14351.506849315076</v>
      </c>
      <c r="D107" s="263">
        <f>(D102*'Input Property 3'!C56)-D103</f>
        <v>37137.312328767148</v>
      </c>
      <c r="E107" s="263">
        <f>(E102*'Input Property 3'!D56)-E103</f>
        <v>61518.124191780866</v>
      </c>
      <c r="F107" s="263">
        <f>(F102*'Input Property 3'!E56)-F103</f>
        <v>87605.592885205522</v>
      </c>
      <c r="G107" s="263">
        <f>(G102*'Input Property 3'!F56)-G103</f>
        <v>115519.18438716989</v>
      </c>
      <c r="H107" s="263">
        <f>(H102*'Input Property 3'!G56)-H103</f>
        <v>145386.72729427181</v>
      </c>
      <c r="I107" s="263">
        <f>(I102*'Input Property 3'!H56)-I103</f>
        <v>177344.99820487079</v>
      </c>
      <c r="J107" s="263">
        <f>(J102*'Input Property 3'!I56)-J103</f>
        <v>211540.34807921172</v>
      </c>
      <c r="K107" s="263">
        <f>(K102*'Input Property 3'!J56)-K103</f>
        <v>248129.37244475656</v>
      </c>
      <c r="L107" s="263">
        <f>(L102*'Input Property 3'!K56)-L103</f>
        <v>287279.62851588952</v>
      </c>
      <c r="M107" s="263">
        <f>(M102*'Input Property 3'!L56)-M103</f>
        <v>329170.40251200181</v>
      </c>
      <c r="N107" s="263">
        <f>(N102*'Input Property 3'!M56)-N103</f>
        <v>373993.53068784205</v>
      </c>
      <c r="O107" s="263">
        <f>(O102*'Input Property 3'!N56)-O103</f>
        <v>421954.27783599088</v>
      </c>
      <c r="P107" s="263">
        <f>(P102*'Input Property 3'!O56)-P103</f>
        <v>473272.27728451032</v>
      </c>
      <c r="Q107" s="263">
        <f>(Q102*'Input Property 3'!P56)-Q103</f>
        <v>528182.53669442609</v>
      </c>
    </row>
    <row r="108" spans="1:17" x14ac:dyDescent="0.2">
      <c r="A108" s="134" t="s">
        <v>208</v>
      </c>
      <c r="B108" s="134"/>
      <c r="C108" s="326">
        <f>C102-C103</f>
        <v>50519.452054794529</v>
      </c>
      <c r="D108" s="264">
        <f t="shared" ref="D108:Q108" si="25">IF(D102=0,0,D102-C102)</f>
        <v>25317.561643835623</v>
      </c>
      <c r="E108" s="264">
        <f t="shared" si="25"/>
        <v>27089.790958904137</v>
      </c>
      <c r="F108" s="264">
        <f t="shared" si="25"/>
        <v>28986.076326027396</v>
      </c>
      <c r="G108" s="264">
        <f t="shared" si="25"/>
        <v>31015.101668849296</v>
      </c>
      <c r="H108" s="264">
        <f t="shared" si="25"/>
        <v>33186.158785668784</v>
      </c>
      <c r="I108" s="264">
        <f t="shared" si="25"/>
        <v>35509.189900665544</v>
      </c>
      <c r="J108" s="264">
        <f t="shared" si="25"/>
        <v>37994.833193712169</v>
      </c>
      <c r="K108" s="264">
        <f t="shared" si="25"/>
        <v>40654.471517272061</v>
      </c>
      <c r="L108" s="264">
        <f t="shared" si="25"/>
        <v>43500.284523481037</v>
      </c>
      <c r="M108" s="264">
        <f t="shared" si="25"/>
        <v>46545.304440124775</v>
      </c>
      <c r="N108" s="264">
        <f t="shared" si="25"/>
        <v>49803.475750933518</v>
      </c>
      <c r="O108" s="264">
        <f t="shared" si="25"/>
        <v>53289.719053498819</v>
      </c>
      <c r="P108" s="264">
        <f t="shared" si="25"/>
        <v>57019.999387243763</v>
      </c>
      <c r="Q108" s="264">
        <f t="shared" si="25"/>
        <v>61011.399344350793</v>
      </c>
    </row>
    <row r="109" spans="1:17" x14ac:dyDescent="0.2">
      <c r="A109" s="129"/>
      <c r="B109" s="129"/>
      <c r="C109" s="322"/>
      <c r="D109" s="260"/>
      <c r="E109" s="260"/>
      <c r="F109" s="260"/>
      <c r="G109" s="260"/>
      <c r="H109" s="260"/>
      <c r="I109" s="260"/>
      <c r="J109" s="260"/>
      <c r="K109" s="260"/>
      <c r="L109" s="260"/>
      <c r="M109" s="260"/>
      <c r="N109" s="260"/>
      <c r="O109" s="260"/>
      <c r="P109" s="260"/>
      <c r="Q109" s="260"/>
    </row>
    <row r="110" spans="1:17" x14ac:dyDescent="0.2">
      <c r="A110" s="132" t="s">
        <v>122</v>
      </c>
      <c r="B110" s="132"/>
      <c r="C110" s="327">
        <f>'Data Property 3'!C165</f>
        <v>8457.1428571428569</v>
      </c>
      <c r="D110" s="265">
        <f>'Data Property 3'!D165</f>
        <v>19276.41857142857</v>
      </c>
      <c r="E110" s="265">
        <f>'Data Property 3'!E165</f>
        <v>20085.259291428567</v>
      </c>
      <c r="F110" s="265">
        <f>'Data Property 3'!F165</f>
        <v>20809.29865264714</v>
      </c>
      <c r="G110" s="265">
        <f>'Data Property 3'!G165</f>
        <v>21620.861300100376</v>
      </c>
      <c r="H110" s="265">
        <f>'Data Property 3'!H165</f>
        <v>22464.074890804288</v>
      </c>
      <c r="I110" s="265">
        <f>'Data Property 3'!I165</f>
        <v>23406.670033230967</v>
      </c>
      <c r="J110" s="265">
        <f>'Data Property 3'!J165</f>
        <v>24250.440590195933</v>
      </c>
      <c r="K110" s="265">
        <f>'Data Property 3'!K165</f>
        <v>25196.207773213569</v>
      </c>
      <c r="L110" s="265">
        <f>'Data Property 3'!L165</f>
        <v>26178.859876368897</v>
      </c>
      <c r="M110" s="265">
        <f>'Data Property 3'!M165</f>
        <v>27277.32782012719</v>
      </c>
      <c r="N110" s="265">
        <f>'Data Property 3'!N165</f>
        <v>28260.628992597627</v>
      </c>
      <c r="O110" s="265">
        <f>'Data Property 3'!O165</f>
        <v>29362.793523308934</v>
      </c>
      <c r="P110" s="265">
        <f>'Data Property 3'!P165</f>
        <v>30507.942470717979</v>
      </c>
      <c r="Q110" s="265">
        <f>'Data Property 3'!Q165</f>
        <v>31788.059213477904</v>
      </c>
    </row>
    <row r="111" spans="1:17" x14ac:dyDescent="0.2">
      <c r="A111" s="134" t="s">
        <v>210</v>
      </c>
      <c r="B111" s="134"/>
      <c r="C111" s="328">
        <f t="shared" ref="C111:Q111" si="26">C80</f>
        <v>4.7616711738149686E-2</v>
      </c>
      <c r="D111" s="266">
        <f t="shared" si="26"/>
        <v>5.1739051913542611E-2</v>
      </c>
      <c r="E111" s="266">
        <f t="shared" si="26"/>
        <v>5.3910028428023102E-2</v>
      </c>
      <c r="F111" s="266">
        <f t="shared" si="26"/>
        <v>5.5853393060759426E-2</v>
      </c>
      <c r="G111" s="266">
        <f t="shared" si="26"/>
        <v>5.8031675390129038E-2</v>
      </c>
      <c r="H111" s="266">
        <f t="shared" si="26"/>
        <v>6.0294910730344063E-2</v>
      </c>
      <c r="I111" s="266">
        <f t="shared" si="26"/>
        <v>6.2824892055804188E-2</v>
      </c>
      <c r="J111" s="266">
        <f t="shared" si="26"/>
        <v>6.5089622326531746E-2</v>
      </c>
      <c r="K111" s="266">
        <f t="shared" si="26"/>
        <v>6.7628117597266474E-2</v>
      </c>
      <c r="L111" s="266">
        <f t="shared" si="26"/>
        <v>7.0265614183559866E-2</v>
      </c>
      <c r="M111" s="266">
        <f t="shared" si="26"/>
        <v>7.321396736217943E-2</v>
      </c>
      <c r="N111" s="266">
        <f t="shared" si="26"/>
        <v>7.5853206089050718E-2</v>
      </c>
      <c r="O111" s="266">
        <f t="shared" si="26"/>
        <v>7.8811481126523697E-2</v>
      </c>
      <c r="P111" s="266">
        <f t="shared" si="26"/>
        <v>8.1885128890458111E-2</v>
      </c>
      <c r="Q111" s="266">
        <f t="shared" si="26"/>
        <v>8.5321038230340346E-2</v>
      </c>
    </row>
    <row r="112" spans="1:17" x14ac:dyDescent="0.2">
      <c r="A112" s="129" t="str">
        <f>'Data Property 3'!A193</f>
        <v>Property Expenses</v>
      </c>
      <c r="B112" s="129"/>
      <c r="C112" s="327">
        <f>'Data Property 3'!C186</f>
        <v>2906.8123287671237</v>
      </c>
      <c r="D112" s="265">
        <f>'Data Property 3'!D186</f>
        <v>5807.8980499999998</v>
      </c>
      <c r="E112" s="265">
        <f>'Data Property 3'!E186</f>
        <v>5981.3626391499993</v>
      </c>
      <c r="F112" s="265">
        <f>'Data Property 3'!F186</f>
        <v>6152.02217543405</v>
      </c>
      <c r="G112" s="265">
        <f>'Data Property 3'!G186</f>
        <v>6332.0258461119147</v>
      </c>
      <c r="H112" s="265">
        <f>'Data Property 3'!H186</f>
        <v>6517.5515300921143</v>
      </c>
      <c r="I112" s="265">
        <f>'Data Property 3'!I186</f>
        <v>6713.4318681650602</v>
      </c>
      <c r="J112" s="265">
        <f>'Data Property 3'!J186</f>
        <v>6905.8865610237417</v>
      </c>
      <c r="K112" s="265">
        <f>'Data Property 3'!K186</f>
        <v>7109.0699351121684</v>
      </c>
      <c r="L112" s="265">
        <f>'Data Property 3'!L186</f>
        <v>7318.5238057452561</v>
      </c>
      <c r="M112" s="265">
        <f>'Data Property 3'!M186</f>
        <v>7539.8758495127222</v>
      </c>
      <c r="N112" s="265">
        <f>'Data Property 3'!N186</f>
        <v>7757.0627601790784</v>
      </c>
      <c r="O112" s="265">
        <f>'Data Property 3'!O186</f>
        <v>7986.5751776227253</v>
      </c>
      <c r="P112" s="265">
        <f>'Data Property 3'!P186</f>
        <v>8223.213253591588</v>
      </c>
      <c r="Q112" s="265">
        <f>'Data Property 3'!Q186</f>
        <v>8473.5307446724128</v>
      </c>
    </row>
    <row r="113" spans="1:17" x14ac:dyDescent="0.2">
      <c r="A113" s="129" t="str">
        <f>'Data Property 3'!A194</f>
        <v>Total Cash Deductions</v>
      </c>
      <c r="B113" s="360"/>
      <c r="C113" s="327">
        <f>'Data Property 3'!C187</f>
        <v>12474.225044874824</v>
      </c>
      <c r="D113" s="265">
        <f>'Data Property 3'!D187</f>
        <v>22768.89460172414</v>
      </c>
      <c r="E113" s="265">
        <f>'Data Property 3'!E187</f>
        <v>22981.069053887837</v>
      </c>
      <c r="F113" s="265">
        <f>'Data Property 3'!F187</f>
        <v>23113.018727158189</v>
      </c>
      <c r="G113" s="265">
        <f>'Data Property 3'!G187</f>
        <v>23293.022397836052</v>
      </c>
      <c r="H113" s="265">
        <f>'Data Property 3'!H187</f>
        <v>23478.548081816254</v>
      </c>
      <c r="I113" s="265">
        <f>'Data Property 3'!I187</f>
        <v>23713.138282902899</v>
      </c>
      <c r="J113" s="265">
        <f>'Data Property 3'!J187</f>
        <v>23866.883112747881</v>
      </c>
      <c r="K113" s="265">
        <f>'Data Property 3'!K187</f>
        <v>24070.066486836306</v>
      </c>
      <c r="L113" s="265">
        <f>'Data Property 3'!L187</f>
        <v>24279.520357469395</v>
      </c>
      <c r="M113" s="265">
        <f>'Data Property 3'!M187</f>
        <v>24539.582264250559</v>
      </c>
      <c r="N113" s="265">
        <f>'Data Property 3'!N187</f>
        <v>24718.059311903216</v>
      </c>
      <c r="O113" s="265">
        <f>'Data Property 3'!O187</f>
        <v>24947.571729346862</v>
      </c>
      <c r="P113" s="265">
        <f>'Data Property 3'!P187</f>
        <v>25184.209805315724</v>
      </c>
      <c r="Q113" s="265">
        <f>'Data Property 3'!Q187</f>
        <v>25473.237159410251</v>
      </c>
    </row>
    <row r="114" spans="1:17" x14ac:dyDescent="0.2">
      <c r="A114" s="129"/>
      <c r="B114" s="361"/>
      <c r="C114" s="329"/>
      <c r="D114" s="267"/>
      <c r="E114" s="267"/>
      <c r="F114" s="267"/>
      <c r="G114" s="267"/>
      <c r="H114" s="267"/>
      <c r="I114" s="267"/>
      <c r="J114" s="267"/>
      <c r="K114" s="267"/>
      <c r="L114" s="267"/>
      <c r="M114" s="267"/>
      <c r="N114" s="267"/>
      <c r="O114" s="267"/>
      <c r="P114" s="267"/>
      <c r="Q114" s="267"/>
    </row>
    <row r="115" spans="1:17" x14ac:dyDescent="0.2">
      <c r="A115" s="129" t="str">
        <f>'Data Property 3'!A188</f>
        <v>Pre-Tax Cash Flow</v>
      </c>
      <c r="B115" s="362"/>
      <c r="C115" s="330">
        <f>'Data Property 3'!C189</f>
        <v>-4017.0821877319668</v>
      </c>
      <c r="D115" s="268">
        <f>'Data Property 3'!D189</f>
        <v>-3492.4760302955692</v>
      </c>
      <c r="E115" s="268">
        <f>'Data Property 3'!E189</f>
        <v>-2895.8097624592701</v>
      </c>
      <c r="F115" s="268">
        <f>'Data Property 3'!F189</f>
        <v>-2303.7200745110495</v>
      </c>
      <c r="G115" s="268">
        <f>'Data Property 3'!G189</f>
        <v>-1672.1610977356759</v>
      </c>
      <c r="H115" s="268">
        <f>'Data Property 3'!H189</f>
        <v>-1014.4731910119663</v>
      </c>
      <c r="I115" s="268">
        <f>'Data Property 3'!I189</f>
        <v>-306.46824967193243</v>
      </c>
      <c r="J115" s="268">
        <f>'Data Property 3'!J189</f>
        <v>383.55747744805194</v>
      </c>
      <c r="K115" s="268">
        <f>'Data Property 3'!K189</f>
        <v>1126.1412863772639</v>
      </c>
      <c r="L115" s="268">
        <f>'Data Property 3'!L189</f>
        <v>1899.3395188995019</v>
      </c>
      <c r="M115" s="268">
        <f>'Data Property 3'!M189</f>
        <v>2737.7455558766305</v>
      </c>
      <c r="N115" s="268">
        <f>'Data Property 3'!N189</f>
        <v>3542.5696806944106</v>
      </c>
      <c r="O115" s="268">
        <f>'Data Property 3'!O189</f>
        <v>4415.2217939620714</v>
      </c>
      <c r="P115" s="268">
        <f>'Data Property 3'!P189</f>
        <v>5323.7326654022545</v>
      </c>
      <c r="Q115" s="268">
        <f>'Data Property 3'!Q189</f>
        <v>6314.8220540676521</v>
      </c>
    </row>
    <row r="116" spans="1:17" x14ac:dyDescent="0.2">
      <c r="A116" s="135" t="str">
        <f>'Data Property 3'!A202</f>
        <v>Net Income</v>
      </c>
      <c r="B116" s="363"/>
      <c r="C116" s="327">
        <f>'Data Property 3'!C202</f>
        <v>-8504.0821877319668</v>
      </c>
      <c r="D116" s="265">
        <f>'Data Property 3'!D202</f>
        <v>-7529.4760302955692</v>
      </c>
      <c r="E116" s="265">
        <f>'Data Property 3'!E202</f>
        <v>-6617.8097624592738</v>
      </c>
      <c r="F116" s="265">
        <f>'Data Property 3'!F202</f>
        <v>-5805.2200745110495</v>
      </c>
      <c r="G116" s="265">
        <f>'Data Property 3'!G202</f>
        <v>-5019.311097735681</v>
      </c>
      <c r="H116" s="265">
        <f>'Data Property 3'!H202</f>
        <v>-3891.5781910119658</v>
      </c>
      <c r="I116" s="265">
        <f>'Data Property 3'!I202</f>
        <v>-3107.9417496719361</v>
      </c>
      <c r="J116" s="265">
        <f>'Data Property 3'!J202</f>
        <v>-2364.9739725519466</v>
      </c>
      <c r="K116" s="265">
        <f>'Data Property 3'!K202</f>
        <v>-1585.3307286227391</v>
      </c>
      <c r="L116" s="265">
        <f>'Data Property 3'!L202</f>
        <v>-786.19089160049771</v>
      </c>
      <c r="M116" s="265">
        <f>'Data Property 3'!M202</f>
        <v>70.374268526626111</v>
      </c>
      <c r="N116" s="265">
        <f>'Data Property 3'!N202</f>
        <v>887.90977954940536</v>
      </c>
      <c r="O116" s="265">
        <f>'Data Property 3'!O202</f>
        <v>1769.4598631605659</v>
      </c>
      <c r="P116" s="265">
        <f>'Data Property 3'!P202</f>
        <v>2684.1993138411999</v>
      </c>
      <c r="Q116" s="265">
        <f>'Data Property 3'!Q202</f>
        <v>3679.6487079749168</v>
      </c>
    </row>
    <row r="117" spans="1:17" x14ac:dyDescent="0.2">
      <c r="A117" s="135" t="s">
        <v>206</v>
      </c>
      <c r="B117" s="363"/>
      <c r="C117" s="327">
        <f>'Data Property 3'!C211</f>
        <v>1103.7463838160438</v>
      </c>
      <c r="D117" s="265">
        <f>'Data Property 3'!D211</f>
        <v>1235.6353692783814</v>
      </c>
      <c r="E117" s="265">
        <f>'Data Property 3'!E211</f>
        <v>1098.2692016348228</v>
      </c>
      <c r="F117" s="265">
        <f>'Data Property 3'!F211</f>
        <v>973.79744013735763</v>
      </c>
      <c r="G117" s="265">
        <f>'Data Property 3'!G211</f>
        <v>858.42693837360275</v>
      </c>
      <c r="H117" s="265">
        <f>'Data Property 3'!H211</f>
        <v>678.60041016228934</v>
      </c>
      <c r="I117" s="265">
        <f>'Data Property 3'!I211</f>
        <v>573.97177752386779</v>
      </c>
      <c r="J117" s="265">
        <f>'Data Property 3'!J211</f>
        <v>467.24569161160616</v>
      </c>
      <c r="K117" s="265">
        <f>'Data Property 3'!K211</f>
        <v>359.8359965171112</v>
      </c>
      <c r="L117" s="265">
        <f>'Data Property 3'!L211</f>
        <v>246.50659345001623</v>
      </c>
      <c r="M117" s="265">
        <f>'Data Property 3'!M211</f>
        <v>139.16951006620366</v>
      </c>
      <c r="N117" s="265">
        <f>'Data Property 3'!N211</f>
        <v>24.584241785189079</v>
      </c>
      <c r="O117" s="265">
        <f>'Data Property 3'!O211</f>
        <v>-93.476804640602495</v>
      </c>
      <c r="P117" s="265">
        <f>'Data Property 3'!P211</f>
        <v>-221.23083316526026</v>
      </c>
      <c r="Q117" s="265">
        <f>'Data Property 3'!Q211</f>
        <v>-341.42550314270193</v>
      </c>
    </row>
    <row r="118" spans="1:17" x14ac:dyDescent="0.2">
      <c r="A118" s="129" t="s">
        <v>207</v>
      </c>
      <c r="B118" s="361"/>
      <c r="C118" s="331">
        <f>'Data Property 3'!C220</f>
        <v>1103.7463838160475</v>
      </c>
      <c r="D118" s="269">
        <f>'Data Property 3'!D220</f>
        <v>1235.6353692783741</v>
      </c>
      <c r="E118" s="269">
        <f>'Data Property 3'!E220</f>
        <v>1098.2692016348228</v>
      </c>
      <c r="F118" s="269">
        <f>'Data Property 3'!F220</f>
        <v>973.79744013735399</v>
      </c>
      <c r="G118" s="269">
        <f>'Data Property 3'!G220</f>
        <v>858.42693837360275</v>
      </c>
      <c r="H118" s="269">
        <f>'Data Property 3'!H220</f>
        <v>678.60041016228206</v>
      </c>
      <c r="I118" s="269">
        <f>'Data Property 3'!I220</f>
        <v>573.97177752386415</v>
      </c>
      <c r="J118" s="269">
        <f>'Data Property 3'!J220</f>
        <v>467.24569161161344</v>
      </c>
      <c r="K118" s="269">
        <f>'Data Property 3'!K220</f>
        <v>359.83599651710756</v>
      </c>
      <c r="L118" s="269">
        <f>'Data Property 3'!L220</f>
        <v>246.50659345001623</v>
      </c>
      <c r="M118" s="269">
        <f>'Data Property 3'!M220</f>
        <v>139.16951006619638</v>
      </c>
      <c r="N118" s="269">
        <f>'Data Property 3'!N220</f>
        <v>24.584241785185441</v>
      </c>
      <c r="O118" s="269">
        <f>'Data Property 3'!O220</f>
        <v>-93.476804640602495</v>
      </c>
      <c r="P118" s="269">
        <f>'Data Property 3'!P220</f>
        <v>-221.23083316526754</v>
      </c>
      <c r="Q118" s="269">
        <f>'Data Property 3'!Q220</f>
        <v>-341.42550314270193</v>
      </c>
    </row>
    <row r="119" spans="1:17" ht="13.5" thickBot="1" x14ac:dyDescent="0.25">
      <c r="A119" s="131" t="str">
        <f>'Data Property 3'!A223</f>
        <v>After-tax Cash Flow</v>
      </c>
      <c r="B119" s="364"/>
      <c r="C119" s="332">
        <f>'Data Property 3'!C224</f>
        <v>-1809.5894200998755</v>
      </c>
      <c r="D119" s="270">
        <f>'Data Property 3'!D224</f>
        <v>-1021.2052917388137</v>
      </c>
      <c r="E119" s="270">
        <f>'Data Property 3'!E224</f>
        <v>-699.27135918962449</v>
      </c>
      <c r="F119" s="270">
        <f>'Data Property 3'!F224</f>
        <v>-356.12519423633785</v>
      </c>
      <c r="G119" s="270">
        <f>'Data Property 3'!G224</f>
        <v>44.692779011529638</v>
      </c>
      <c r="H119" s="270">
        <f>'Data Property 3'!H224</f>
        <v>342.72762931260513</v>
      </c>
      <c r="I119" s="270">
        <f>'Data Property 3'!I224</f>
        <v>841.47530537579951</v>
      </c>
      <c r="J119" s="270">
        <f>'Data Property 3'!J224</f>
        <v>1318.0488606712715</v>
      </c>
      <c r="K119" s="270">
        <f>'Data Property 3'!K224</f>
        <v>1845.8132794114827</v>
      </c>
      <c r="L119" s="270">
        <f>'Data Property 3'!L224</f>
        <v>2392.3527057995343</v>
      </c>
      <c r="M119" s="270">
        <f>'Data Property 3'!M224</f>
        <v>3016.0845760090306</v>
      </c>
      <c r="N119" s="270">
        <f>'Data Property 3'!N224</f>
        <v>3591.7381642647852</v>
      </c>
      <c r="O119" s="270">
        <f>'Data Property 3'!O224</f>
        <v>4228.2681846808664</v>
      </c>
      <c r="P119" s="270">
        <f>'Data Property 3'!P224</f>
        <v>4881.2709990717267</v>
      </c>
      <c r="Q119" s="270">
        <f>'Data Property 3'!Q224</f>
        <v>5631.9710477822482</v>
      </c>
    </row>
    <row r="120" spans="1:17" ht="13.5" thickTop="1" x14ac:dyDescent="0.2">
      <c r="A120" s="196" t="s">
        <v>246</v>
      </c>
      <c r="B120" s="365"/>
      <c r="C120" s="333">
        <f>C119</f>
        <v>-1809.5894200998755</v>
      </c>
      <c r="D120" s="271">
        <f t="shared" ref="D120:Q120" si="27">C120+D119</f>
        <v>-2830.7947118386892</v>
      </c>
      <c r="E120" s="271">
        <f t="shared" si="27"/>
        <v>-3530.0660710283137</v>
      </c>
      <c r="F120" s="271">
        <f t="shared" si="27"/>
        <v>-3886.1912652646515</v>
      </c>
      <c r="G120" s="271">
        <f t="shared" si="27"/>
        <v>-3841.4984862531219</v>
      </c>
      <c r="H120" s="271">
        <f t="shared" si="27"/>
        <v>-3498.7708569405168</v>
      </c>
      <c r="I120" s="271">
        <f t="shared" si="27"/>
        <v>-2657.2955515647172</v>
      </c>
      <c r="J120" s="271">
        <f t="shared" si="27"/>
        <v>-1339.2466908934457</v>
      </c>
      <c r="K120" s="271">
        <f t="shared" si="27"/>
        <v>506.56658851803695</v>
      </c>
      <c r="L120" s="271">
        <f t="shared" si="27"/>
        <v>2898.9192943175713</v>
      </c>
      <c r="M120" s="271">
        <f t="shared" si="27"/>
        <v>5915.0038703266018</v>
      </c>
      <c r="N120" s="271">
        <f t="shared" si="27"/>
        <v>9506.742034591387</v>
      </c>
      <c r="O120" s="271">
        <f t="shared" si="27"/>
        <v>13735.010219272253</v>
      </c>
      <c r="P120" s="271">
        <f t="shared" si="27"/>
        <v>18616.281218343982</v>
      </c>
      <c r="Q120" s="271">
        <f t="shared" si="27"/>
        <v>24248.25226612623</v>
      </c>
    </row>
    <row r="121" spans="1:17" x14ac:dyDescent="0.2">
      <c r="A121" s="129"/>
      <c r="B121" s="281"/>
      <c r="C121" s="334"/>
      <c r="D121" s="272"/>
      <c r="E121" s="272"/>
      <c r="F121" s="272"/>
      <c r="G121" s="272"/>
      <c r="H121" s="272"/>
      <c r="I121" s="272"/>
      <c r="J121" s="272"/>
      <c r="K121" s="272"/>
      <c r="L121" s="272"/>
      <c r="M121" s="272"/>
      <c r="N121" s="272"/>
      <c r="O121" s="272"/>
      <c r="P121" s="272"/>
      <c r="Q121" s="272"/>
    </row>
    <row r="122" spans="1:17" x14ac:dyDescent="0.2">
      <c r="A122" s="131" t="s">
        <v>209</v>
      </c>
      <c r="B122" s="131"/>
      <c r="C122" s="335">
        <f>C119+C108-C104</f>
        <v>-11290.137365305345</v>
      </c>
      <c r="D122" s="273">
        <f>IF('Data Property 3'!C161&lt;'Input Property 3'!$B$33,D119+D108,0)</f>
        <v>24296.356352096809</v>
      </c>
      <c r="E122" s="273">
        <f>IF('Data Property 3'!D161&lt;'Input Property 3'!$B$33,E119+E108,0)</f>
        <v>26390.519599714513</v>
      </c>
      <c r="F122" s="273">
        <f>IF('Data Property 3'!E161&lt;'Input Property 3'!$B$33,F119+F108,0)</f>
        <v>28629.951131791058</v>
      </c>
      <c r="G122" s="273">
        <f>IF('Data Property 3'!F161&lt;'Input Property 3'!$B$33,G119+G108,0)</f>
        <v>31059.794447860826</v>
      </c>
      <c r="H122" s="273">
        <f>IF('Data Property 3'!G161&lt;'Input Property 3'!$B$33,H119+H108,0)</f>
        <v>33528.886414981389</v>
      </c>
      <c r="I122" s="273">
        <f>IF('Data Property 3'!H161&lt;'Input Property 3'!$B$33,I119+I108,0)</f>
        <v>36350.665206041347</v>
      </c>
      <c r="J122" s="273">
        <f>IF('Data Property 3'!I161&lt;'Input Property 3'!$B$33,J119+J108,0)</f>
        <v>39312.882054383444</v>
      </c>
      <c r="K122" s="273">
        <f>IF('Data Property 3'!J161&lt;'Input Property 3'!$B$33,K119+K108,0)</f>
        <v>42500.28479668354</v>
      </c>
      <c r="L122" s="273">
        <f>IF('Data Property 3'!K161&lt;'Input Property 3'!$B$33,L119+L108,0)</f>
        <v>45892.637229280575</v>
      </c>
      <c r="M122" s="273">
        <f>IF('Data Property 3'!L161&lt;'Input Property 3'!$B$33,M119+M108,0)</f>
        <v>49561.389016133806</v>
      </c>
      <c r="N122" s="273">
        <f>IF('Data Property 3'!M161&lt;'Input Property 3'!$B$33,N119+N108,0)</f>
        <v>53395.213915198299</v>
      </c>
      <c r="O122" s="273">
        <f>IF('Data Property 3'!N161&lt;'Input Property 3'!$B$33,O119+O108,0)</f>
        <v>57517.987238179689</v>
      </c>
      <c r="P122" s="273">
        <f>IF('Data Property 3'!O161&lt;'Input Property 3'!$B$33,P119+P108,0)</f>
        <v>61901.270386315489</v>
      </c>
      <c r="Q122" s="273">
        <f>IF('Data Property 3'!P161&lt;'Input Property 3'!$B$33,Q119+Q108,0)</f>
        <v>66643.370392133045</v>
      </c>
    </row>
    <row r="123" spans="1:17" x14ac:dyDescent="0.2">
      <c r="A123" s="196" t="s">
        <v>245</v>
      </c>
      <c r="B123" s="196"/>
      <c r="C123" s="335">
        <f>C122</f>
        <v>-11290.137365305345</v>
      </c>
      <c r="D123" s="273">
        <f t="shared" ref="D123:Q123" si="28">C123+D122</f>
        <v>13006.218986791464</v>
      </c>
      <c r="E123" s="273">
        <f t="shared" si="28"/>
        <v>39396.738586505977</v>
      </c>
      <c r="F123" s="273">
        <f t="shared" si="28"/>
        <v>68026.689718297042</v>
      </c>
      <c r="G123" s="273">
        <f t="shared" si="28"/>
        <v>99086.484166157868</v>
      </c>
      <c r="H123" s="273">
        <f t="shared" si="28"/>
        <v>132615.37058113926</v>
      </c>
      <c r="I123" s="273">
        <f t="shared" si="28"/>
        <v>168966.03578718059</v>
      </c>
      <c r="J123" s="273">
        <f t="shared" si="28"/>
        <v>208278.91784156405</v>
      </c>
      <c r="K123" s="273">
        <f t="shared" si="28"/>
        <v>250779.20263824757</v>
      </c>
      <c r="L123" s="273">
        <f t="shared" si="28"/>
        <v>296671.83986752818</v>
      </c>
      <c r="M123" s="273">
        <f t="shared" si="28"/>
        <v>346233.22888366197</v>
      </c>
      <c r="N123" s="273">
        <f t="shared" si="28"/>
        <v>399628.44279886025</v>
      </c>
      <c r="O123" s="273">
        <f t="shared" si="28"/>
        <v>457146.43003703991</v>
      </c>
      <c r="P123" s="273">
        <f t="shared" si="28"/>
        <v>519047.70042335539</v>
      </c>
      <c r="Q123" s="273">
        <f t="shared" si="28"/>
        <v>585691.07081548846</v>
      </c>
    </row>
    <row r="124" spans="1:17" x14ac:dyDescent="0.2">
      <c r="A124" s="129"/>
      <c r="B124" s="129"/>
      <c r="C124" s="322"/>
      <c r="D124" s="260"/>
      <c r="E124" s="260"/>
      <c r="F124" s="260"/>
      <c r="G124" s="260"/>
      <c r="H124" s="260"/>
      <c r="I124" s="260"/>
      <c r="J124" s="260"/>
      <c r="K124" s="260"/>
      <c r="L124" s="260"/>
      <c r="M124" s="260"/>
      <c r="N124" s="260"/>
      <c r="O124" s="260"/>
      <c r="P124" s="260"/>
      <c r="Q124" s="260"/>
    </row>
    <row r="125" spans="1:17" x14ac:dyDescent="0.2">
      <c r="A125" s="131" t="s">
        <v>90</v>
      </c>
      <c r="B125" s="131"/>
      <c r="C125" s="322"/>
      <c r="D125" s="260"/>
      <c r="E125" s="274"/>
      <c r="F125" s="260"/>
      <c r="G125" s="260"/>
      <c r="H125" s="260"/>
      <c r="I125" s="260"/>
      <c r="J125" s="260"/>
      <c r="K125" s="260"/>
      <c r="L125" s="260"/>
      <c r="M125" s="260"/>
      <c r="N125" s="260"/>
      <c r="O125" s="260"/>
      <c r="P125" s="260"/>
      <c r="Q125" s="260"/>
    </row>
    <row r="126" spans="1:17" x14ac:dyDescent="0.2">
      <c r="A126" s="248" t="s">
        <v>91</v>
      </c>
      <c r="B126" s="248"/>
      <c r="C126" s="336">
        <f>IRR(D126:I126)</f>
        <v>4.8032996534867145E-2</v>
      </c>
      <c r="D126" s="275">
        <f>-('Input Property 3'!B5-'Input Property 3'!B3+'Input Property 3'!B4)</f>
        <v>-82570</v>
      </c>
      <c r="E126" s="275">
        <f>C122</f>
        <v>-11290.137365305345</v>
      </c>
      <c r="F126" s="275">
        <f>D122</f>
        <v>24296.356352096809</v>
      </c>
      <c r="G126" s="275">
        <f>E122</f>
        <v>26390.519599714513</v>
      </c>
      <c r="H126" s="275">
        <f>F122</f>
        <v>28629.951131791058</v>
      </c>
      <c r="I126" s="275">
        <f>G122</f>
        <v>31059.794447860826</v>
      </c>
      <c r="J126" s="275"/>
      <c r="K126" s="275"/>
      <c r="L126" s="275"/>
      <c r="M126" s="275"/>
      <c r="N126" s="275"/>
      <c r="O126" s="276"/>
      <c r="P126" s="276"/>
      <c r="Q126" s="276"/>
    </row>
    <row r="127" spans="1:17" x14ac:dyDescent="0.2">
      <c r="A127" s="132" t="s">
        <v>92</v>
      </c>
      <c r="B127" s="132"/>
      <c r="C127" s="337">
        <f>IRR(D127:N127)</f>
        <v>0.60489320415691528</v>
      </c>
      <c r="D127" s="277">
        <f>'Data Property 3'!C224</f>
        <v>-1809.5894200998755</v>
      </c>
      <c r="E127" s="277">
        <f>'Data Property 3'!D224</f>
        <v>-1021.2052917388137</v>
      </c>
      <c r="F127" s="277">
        <f>'Data Property 3'!E224</f>
        <v>-699.27135918962449</v>
      </c>
      <c r="G127" s="277">
        <f>'Data Property 3'!F224</f>
        <v>-356.12519423633785</v>
      </c>
      <c r="H127" s="277">
        <f>'Data Property 3'!G224</f>
        <v>44.692779011529638</v>
      </c>
      <c r="I127" s="277">
        <f>'Data Property 3'!H224</f>
        <v>342.72762931260513</v>
      </c>
      <c r="J127" s="277">
        <f>'Data Property 3'!I224</f>
        <v>841.47530537579951</v>
      </c>
      <c r="K127" s="277">
        <f>'Data Property 3'!J224</f>
        <v>1318.0488606712715</v>
      </c>
      <c r="L127" s="277">
        <f>'Data Property 3'!K224</f>
        <v>1845.8132794114827</v>
      </c>
      <c r="M127" s="277">
        <f>'Data Property 3'!L224</f>
        <v>2392.3527057995343</v>
      </c>
      <c r="N127" s="277">
        <f>'Data Property 3'!L106-'Input Property 3'!B4</f>
        <v>293772.92057321058</v>
      </c>
      <c r="O127" s="278"/>
      <c r="P127" s="279"/>
      <c r="Q127" s="279"/>
    </row>
    <row r="128" spans="1:17" x14ac:dyDescent="0.2">
      <c r="A128" s="132" t="s">
        <v>93</v>
      </c>
      <c r="B128" s="132"/>
      <c r="C128" s="338">
        <f>IRR(D128:Q128)</f>
        <v>0.20985037537649576</v>
      </c>
      <c r="D128" s="277">
        <f>'Data Property 3'!C224</f>
        <v>-1809.5894200998755</v>
      </c>
      <c r="E128" s="277">
        <f>'Data Property 3'!D224</f>
        <v>-1021.2052917388137</v>
      </c>
      <c r="F128" s="277">
        <f>'Data Property 3'!E224</f>
        <v>-699.27135918962449</v>
      </c>
      <c r="G128" s="277">
        <f>'Data Property 3'!F224</f>
        <v>-356.12519423633785</v>
      </c>
      <c r="H128" s="277">
        <f>'Data Property 3'!G224</f>
        <v>44.692779011529638</v>
      </c>
      <c r="I128" s="277">
        <f>'Data Property 3'!H224</f>
        <v>342.72762931260513</v>
      </c>
      <c r="J128" s="277">
        <f>'Data Property 3'!I224</f>
        <v>841.47530537579951</v>
      </c>
      <c r="K128" s="277">
        <f>'Data Property 3'!J224</f>
        <v>1318.0488606712715</v>
      </c>
      <c r="L128" s="277">
        <f>'Data Property 3'!K224</f>
        <v>1845.8132794114827</v>
      </c>
      <c r="M128" s="277">
        <f>'Data Property 3'!L224</f>
        <v>2392.3527057995343</v>
      </c>
      <c r="N128" s="277">
        <f>'Data Property 3'!M224</f>
        <v>3016.0845760090306</v>
      </c>
      <c r="O128" s="277">
        <f>'Data Property 3'!N224</f>
        <v>3591.7381642647852</v>
      </c>
      <c r="P128" s="277">
        <f>'Data Property 3'!O224</f>
        <v>4228.2681846808664</v>
      </c>
      <c r="Q128" s="277">
        <f>'Data Property 3'!P224</f>
        <v>4881.2709990717267</v>
      </c>
    </row>
    <row r="129" spans="1:17" x14ac:dyDescent="0.2">
      <c r="A129" s="129"/>
      <c r="B129" s="129"/>
      <c r="C129" s="322"/>
      <c r="D129" s="260"/>
      <c r="E129" s="260"/>
      <c r="F129" s="260"/>
      <c r="G129" s="260"/>
      <c r="H129" s="260"/>
      <c r="I129" s="260"/>
      <c r="J129" s="260"/>
      <c r="K129" s="260"/>
      <c r="L129" s="260"/>
      <c r="M129" s="260"/>
      <c r="N129" s="260"/>
      <c r="O129" s="260"/>
      <c r="P129" s="260"/>
      <c r="Q129" s="260"/>
    </row>
    <row r="130" spans="1:17" x14ac:dyDescent="0.2">
      <c r="A130" s="196" t="s">
        <v>235</v>
      </c>
      <c r="B130" s="196"/>
      <c r="C130" s="339">
        <f>SUM(C122:Q122)</f>
        <v>585691.07081548846</v>
      </c>
      <c r="D130" s="208"/>
      <c r="E130" s="260"/>
      <c r="F130" s="260"/>
      <c r="G130" s="260"/>
      <c r="H130" s="260"/>
      <c r="I130" s="260"/>
      <c r="J130" s="260"/>
      <c r="K130" s="260"/>
      <c r="L130" s="260"/>
      <c r="M130" s="260"/>
      <c r="N130" s="260"/>
      <c r="O130" s="260"/>
      <c r="P130" s="260"/>
      <c r="Q130" s="260"/>
    </row>
    <row r="131" spans="1:17" x14ac:dyDescent="0.2">
      <c r="A131" s="196" t="s">
        <v>236</v>
      </c>
      <c r="B131" s="196"/>
      <c r="C131" s="340">
        <f>C130/C103</f>
        <v>1.8822826546326279</v>
      </c>
      <c r="D131" s="209"/>
      <c r="E131" s="260"/>
      <c r="F131" s="260"/>
      <c r="G131" s="260"/>
      <c r="H131" s="260"/>
      <c r="I131" s="260"/>
      <c r="J131" s="260"/>
      <c r="K131" s="260"/>
      <c r="L131" s="260"/>
      <c r="M131" s="260"/>
      <c r="N131" s="260"/>
      <c r="O131" s="260"/>
      <c r="P131" s="260"/>
      <c r="Q131" s="260"/>
    </row>
    <row r="159" spans="1:17" ht="18" x14ac:dyDescent="0.25">
      <c r="A159" s="280" t="s">
        <v>259</v>
      </c>
      <c r="B159" s="165"/>
      <c r="C159" s="320"/>
      <c r="D159" s="165"/>
      <c r="E159" s="165"/>
      <c r="F159" s="165"/>
      <c r="G159" s="165"/>
      <c r="H159" s="165"/>
      <c r="I159" s="165"/>
      <c r="J159" s="165"/>
      <c r="K159" s="165"/>
      <c r="L159" s="165"/>
      <c r="M159" s="165"/>
      <c r="N159" s="165"/>
      <c r="O159" s="165"/>
      <c r="P159" s="165"/>
      <c r="Q159" s="165"/>
    </row>
    <row r="160" spans="1:17" x14ac:dyDescent="0.2">
      <c r="A160" s="60"/>
      <c r="B160" s="60"/>
      <c r="C160" s="292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</row>
    <row r="161" spans="1:17" x14ac:dyDescent="0.2">
      <c r="A161" t="s">
        <v>161</v>
      </c>
      <c r="B161"/>
      <c r="C161" s="67">
        <f>'Input Property 3'!$B$21</f>
        <v>43281</v>
      </c>
      <c r="D161" s="67">
        <f t="shared" ref="D161:Q161" si="29">DATE(YEAR(C161)+1,MONTH(C161),DAY(C161))</f>
        <v>43646</v>
      </c>
      <c r="E161" s="67">
        <f t="shared" si="29"/>
        <v>44012</v>
      </c>
      <c r="F161" s="67">
        <f t="shared" si="29"/>
        <v>44377</v>
      </c>
      <c r="G161" s="67">
        <f t="shared" si="29"/>
        <v>44742</v>
      </c>
      <c r="H161" s="67">
        <f t="shared" si="29"/>
        <v>45107</v>
      </c>
      <c r="I161" s="67">
        <f t="shared" si="29"/>
        <v>45473</v>
      </c>
      <c r="J161" s="67">
        <f t="shared" si="29"/>
        <v>45838</v>
      </c>
      <c r="K161" s="67">
        <f t="shared" si="29"/>
        <v>46203</v>
      </c>
      <c r="L161" s="67">
        <f t="shared" si="29"/>
        <v>46568</v>
      </c>
      <c r="M161" s="67">
        <f t="shared" si="29"/>
        <v>46934</v>
      </c>
      <c r="N161" s="67">
        <f t="shared" si="29"/>
        <v>47299</v>
      </c>
      <c r="O161" s="67">
        <f t="shared" si="29"/>
        <v>47664</v>
      </c>
      <c r="P161" s="67">
        <f t="shared" si="29"/>
        <v>48029</v>
      </c>
      <c r="Q161" s="67">
        <f t="shared" si="29"/>
        <v>48395</v>
      </c>
    </row>
    <row r="162" spans="1:17" x14ac:dyDescent="0.2">
      <c r="A162" t="s">
        <v>154</v>
      </c>
      <c r="B162"/>
      <c r="C162" s="55">
        <f>IF(('Input Property 3'!$B$21-'Input Property 3'!$B$20)&gt;360,0, 'Input Property 3'!$B$21-'Input Property 3'!$B$20)</f>
        <v>174</v>
      </c>
      <c r="D162" s="55">
        <f>IF('Input Property 3'!$B$33&gt;D161,D161-C161,IF('Input Property 3'!$B$33&lt;C161,0,'Input Property 3'!$B$33-C161))</f>
        <v>365</v>
      </c>
      <c r="E162" s="55">
        <f>IF('Input Property 3'!$B$33&gt;E161,E161-D161,IF('Input Property 3'!$B$33&lt;D161,0,'Input Property 3'!$B$33-D161))</f>
        <v>366</v>
      </c>
      <c r="F162" s="55">
        <f>IF('Input Property 3'!$B$33&gt;F161,F161-E161,IF('Input Property 3'!$B$33&lt;E161,0,'Input Property 3'!$B$33-E161))</f>
        <v>365</v>
      </c>
      <c r="G162" s="55">
        <f>IF('Input Property 3'!$B$33&gt;G161,G161-F161,IF('Input Property 3'!$B$33&lt;F161,0,'Input Property 3'!$B$33-F161))</f>
        <v>365</v>
      </c>
      <c r="H162" s="55">
        <f>IF('Input Property 3'!$B$33&gt;H161,H161-G161,IF('Input Property 3'!$B$33&lt;G161,0,'Input Property 3'!$B$33-G161))</f>
        <v>365</v>
      </c>
      <c r="I162" s="55">
        <f>IF('Input Property 3'!$B$33&gt;I161,I161-H161,IF('Input Property 3'!$B$33&lt;H161,0,'Input Property 3'!$B$33-H161))</f>
        <v>366</v>
      </c>
      <c r="J162" s="55">
        <f>IF('Input Property 3'!$B$33&gt;J161,J161-I161,IF('Input Property 3'!$B$33&lt;I161,0,'Input Property 3'!$B$33-I161))</f>
        <v>365</v>
      </c>
      <c r="K162" s="55">
        <f>IF('Input Property 3'!$B$33&gt;K161,K161-J161,IF('Input Property 3'!$B$33&lt;J161,0,'Input Property 3'!$B$33-J161))</f>
        <v>365</v>
      </c>
      <c r="L162" s="55">
        <f>IF('Input Property 3'!$B$33&gt;L161,L161-K161,IF('Input Property 3'!$B$33&lt;K161,0,'Input Property 3'!$B$33-K161))</f>
        <v>365</v>
      </c>
      <c r="M162" s="55">
        <f>IF('Input Property 3'!$B$33&gt;M161,M161-L161,IF('Input Property 3'!$B$33&lt;L161,0,'Input Property 3'!$B$33-L161))</f>
        <v>366</v>
      </c>
      <c r="N162" s="55">
        <f>IF('Input Property 3'!$B$33&gt;N161,N161-M161,IF('Input Property 3'!$B$33&lt;M161,0,'Input Property 3'!$B$33-M161))</f>
        <v>365</v>
      </c>
      <c r="O162" s="55">
        <f>IF('Input Property 3'!$B$33&gt;O161,O161-N161,IF('Input Property 3'!$B$33&lt;N161,0,'Input Property 3'!$B$33-N161))</f>
        <v>365</v>
      </c>
      <c r="P162" s="55">
        <f>IF('Input Property 3'!$B$33&gt;P161,P161-O161,IF('Input Property 3'!$B$33&lt;O161,0,'Input Property 3'!$B$33-O161))</f>
        <v>365</v>
      </c>
      <c r="Q162" s="55">
        <f>IF('Input Property 3'!$B$33&gt;Q161,Q161-P161,IF('Input Property 3'!$B$33&lt;P161,0,'Input Property 3'!$B$33-P161))</f>
        <v>366</v>
      </c>
    </row>
    <row r="163" spans="1:17" x14ac:dyDescent="0.2">
      <c r="A163" s="27" t="s">
        <v>17</v>
      </c>
      <c r="B163" s="24">
        <f>'Input Property 3'!$B$6</f>
        <v>370</v>
      </c>
      <c r="C163" s="43">
        <f>'Data Property 3'!B163</f>
        <v>370</v>
      </c>
      <c r="D163" s="43">
        <f>C163*(1+'Input Property 3'!B50)</f>
        <v>384.42999999999995</v>
      </c>
      <c r="E163" s="43">
        <f>D163*(1+'Input Property 3'!C50)</f>
        <v>399.4227699999999</v>
      </c>
      <c r="F163" s="43">
        <f>E163*(1+'Input Property 3'!D50)</f>
        <v>415.00025802999988</v>
      </c>
      <c r="G163" s="43">
        <f>F163*(1+'Input Property 3'!E50)</f>
        <v>431.18526809316984</v>
      </c>
      <c r="H163" s="43">
        <f>G163*(1+'Input Property 3'!F50)</f>
        <v>448.00149354880341</v>
      </c>
      <c r="I163" s="43">
        <f>H163*(1+'Input Property 3'!G50)</f>
        <v>465.47355179720671</v>
      </c>
      <c r="J163" s="43">
        <f>I163*(1+'Input Property 3'!H50)</f>
        <v>483.62702031729776</v>
      </c>
      <c r="K163" s="43">
        <f>J163*(1+'Input Property 3'!I50)</f>
        <v>502.48847410967232</v>
      </c>
      <c r="L163" s="43">
        <f>K163*(1+'Input Property 3'!J50)</f>
        <v>522.08552459994951</v>
      </c>
      <c r="M163" s="43">
        <f>L163*(1+'Input Property 3'!K50)</f>
        <v>542.4468600593475</v>
      </c>
      <c r="N163" s="43">
        <f>M163*(1+'Input Property 3'!L50)</f>
        <v>563.60228760166206</v>
      </c>
      <c r="O163" s="43">
        <f>N163*(1+'Input Property 3'!M50)</f>
        <v>585.58277681812683</v>
      </c>
      <c r="P163" s="43">
        <f>O163*(1+'Input Property 3'!N50)</f>
        <v>608.42050511403374</v>
      </c>
      <c r="Q163" s="43">
        <f>P163*(1+'Input Property 3'!O50)</f>
        <v>632.14890481348107</v>
      </c>
    </row>
    <row r="164" spans="1:17" x14ac:dyDescent="0.2">
      <c r="A164" s="38" t="s">
        <v>123</v>
      </c>
      <c r="B164" s="24"/>
      <c r="C164" s="55">
        <f>IF(C162=0,0,(C162-'Input Property 3'!B53)/7)</f>
        <v>22.857142857142858</v>
      </c>
      <c r="D164" s="55">
        <f>IF(D162=0,0,(D162-'Input Property 3'!C53)/7)</f>
        <v>50.142857142857146</v>
      </c>
      <c r="E164" s="55">
        <f>IF(E162=0,0,(E162-'Input Property 3'!D53)/7)</f>
        <v>50.285714285714285</v>
      </c>
      <c r="F164" s="55">
        <f>IF(F162=0,0,(F162-'Input Property 3'!E53)/7)</f>
        <v>50.142857142857146</v>
      </c>
      <c r="G164" s="55">
        <f>IF(G162=0,0,(G162-'Input Property 3'!F53)/7)</f>
        <v>50.142857142857146</v>
      </c>
      <c r="H164" s="55">
        <f>IF(H162=0,0,(H162-'Input Property 3'!G53)/7)</f>
        <v>50.142857142857146</v>
      </c>
      <c r="I164" s="55">
        <f>IF(I162=0,0,(I162-'Input Property 3'!H53)/7)</f>
        <v>50.285714285714285</v>
      </c>
      <c r="J164" s="55">
        <f>IF(J162=0,0,(J162-'Input Property 3'!I53)/7)</f>
        <v>50.142857142857146</v>
      </c>
      <c r="K164" s="55">
        <f>IF(K162=0,0,(K162-'Input Property 3'!J53)/7)</f>
        <v>50.142857142857146</v>
      </c>
      <c r="L164" s="55">
        <f>IF(L162=0,0,(L162-'Input Property 3'!K53)/7)</f>
        <v>50.142857142857146</v>
      </c>
      <c r="M164" s="55">
        <f>IF(M162=0,0,(M162-'Input Property 3'!L53)/7)</f>
        <v>50.285714285714285</v>
      </c>
      <c r="N164" s="55">
        <f>IF(N162=0,0,(N162-'Input Property 3'!M53)/7)</f>
        <v>50.142857142857146</v>
      </c>
      <c r="O164" s="55">
        <f>IF(O162=0,0,(O162-'Input Property 3'!N53)/7)</f>
        <v>50.142857142857146</v>
      </c>
      <c r="P164" s="55">
        <f>IF(P162=0,0,(P162-'Input Property 3'!O53)/7)</f>
        <v>50.142857142857146</v>
      </c>
      <c r="Q164" s="55">
        <f>IF(Q162=0,0,(Q162-'Input Property 3'!P53)/7)</f>
        <v>50.285714285714285</v>
      </c>
    </row>
    <row r="165" spans="1:17" x14ac:dyDescent="0.2">
      <c r="A165" s="27" t="s">
        <v>175</v>
      </c>
      <c r="B165" s="24"/>
      <c r="C165" s="24">
        <f t="shared" ref="C165:Q165" si="30">C164*C163</f>
        <v>8457.1428571428569</v>
      </c>
      <c r="D165" s="24">
        <f t="shared" si="30"/>
        <v>19276.41857142857</v>
      </c>
      <c r="E165" s="24">
        <f t="shared" si="30"/>
        <v>20085.259291428567</v>
      </c>
      <c r="F165" s="24">
        <f t="shared" si="30"/>
        <v>20809.29865264714</v>
      </c>
      <c r="G165" s="24">
        <f t="shared" si="30"/>
        <v>21620.861300100376</v>
      </c>
      <c r="H165" s="24">
        <f t="shared" si="30"/>
        <v>22464.074890804288</v>
      </c>
      <c r="I165" s="24">
        <f t="shared" si="30"/>
        <v>23406.670033230967</v>
      </c>
      <c r="J165" s="24">
        <f t="shared" si="30"/>
        <v>24250.440590195933</v>
      </c>
      <c r="K165" s="24">
        <f t="shared" si="30"/>
        <v>25196.207773213569</v>
      </c>
      <c r="L165" s="24">
        <f t="shared" si="30"/>
        <v>26178.859876368897</v>
      </c>
      <c r="M165" s="24">
        <f t="shared" si="30"/>
        <v>27277.32782012719</v>
      </c>
      <c r="N165" s="24">
        <f t="shared" si="30"/>
        <v>28260.628992597627</v>
      </c>
      <c r="O165" s="24">
        <f t="shared" si="30"/>
        <v>29362.793523308934</v>
      </c>
      <c r="P165" s="24">
        <f t="shared" si="30"/>
        <v>30507.942470717979</v>
      </c>
      <c r="Q165" s="24">
        <f t="shared" si="30"/>
        <v>31788.059213477904</v>
      </c>
    </row>
    <row r="166" spans="1:17" x14ac:dyDescent="0.2">
      <c r="A166" s="9" t="s">
        <v>51</v>
      </c>
      <c r="B166" s="18"/>
      <c r="C166" s="69" t="s">
        <v>118</v>
      </c>
      <c r="D166" s="69" t="s">
        <v>157</v>
      </c>
      <c r="E166" s="69" t="s">
        <v>174</v>
      </c>
      <c r="F166" s="69" t="s">
        <v>176</v>
      </c>
      <c r="G166" s="69" t="s">
        <v>181</v>
      </c>
      <c r="H166" s="69" t="s">
        <v>182</v>
      </c>
      <c r="I166" s="69" t="s">
        <v>183</v>
      </c>
      <c r="J166" s="69" t="s">
        <v>184</v>
      </c>
      <c r="K166" s="69" t="s">
        <v>185</v>
      </c>
      <c r="L166" s="69" t="s">
        <v>186</v>
      </c>
      <c r="M166" s="69" t="s">
        <v>187</v>
      </c>
      <c r="N166" s="69" t="s">
        <v>188</v>
      </c>
      <c r="O166" s="69" t="s">
        <v>189</v>
      </c>
      <c r="P166" s="69" t="s">
        <v>190</v>
      </c>
      <c r="Q166" s="69" t="s">
        <v>191</v>
      </c>
    </row>
    <row r="167" spans="1:17" x14ac:dyDescent="0.2">
      <c r="A167" s="17" t="s">
        <v>112</v>
      </c>
      <c r="B167" s="34" t="s">
        <v>69</v>
      </c>
      <c r="C167" s="24">
        <f>IF(C162=0,0,('Input Property 3'!$B$16*'Input Property 3'!B55)*(C162/365))</f>
        <v>6735.5161643835618</v>
      </c>
      <c r="D167" s="24">
        <f>IF(D162=0,0,('Input Property 3'!$B$16*'Input Property 3'!C55)*(D162/365))</f>
        <v>14129.1</v>
      </c>
      <c r="E167" s="24">
        <f>IF(E162=0,0,('Input Property 3'!$B$16*'Input Property 3'!D55)*(E162/365))</f>
        <v>14167.809863013701</v>
      </c>
      <c r="F167" s="24">
        <f>IF(F162=0,0,('Input Property 3'!$B$16*'Input Property 3'!E55)*(F162/365))</f>
        <v>14129.1</v>
      </c>
      <c r="G167" s="24">
        <f>IF(G162=0,0,('Input Property 3'!$B$16*'Input Property 3'!F55)*(G162/365))</f>
        <v>14129.1</v>
      </c>
      <c r="H167" s="24">
        <f>IF(H162=0,0,('Input Property 3'!$B$16*'Input Property 3'!G55)*(H162/365))</f>
        <v>14129.1</v>
      </c>
      <c r="I167" s="24">
        <f>IF(I162=0,0,('Input Property 3'!$B$16*'Input Property 3'!H55)*(I162/365))</f>
        <v>14167.809863013701</v>
      </c>
      <c r="J167" s="24">
        <f>IF(J162=0,0,('Input Property 3'!$B$16*'Input Property 3'!I55)*(J162/365))</f>
        <v>14129.1</v>
      </c>
      <c r="K167" s="24">
        <f>IF(K162=0,0,('Input Property 3'!$B$16*'Input Property 3'!J55)*(K162/365))</f>
        <v>14129.1</v>
      </c>
      <c r="L167" s="24">
        <f>IF(L162=0,0,('Input Property 3'!$B$16*'Input Property 3'!K55)*(L162/365))</f>
        <v>14129.1</v>
      </c>
      <c r="M167" s="24">
        <f>IF(M162=0,0,('Input Property 3'!$B$16*'Input Property 3'!L55)*(M162/365))</f>
        <v>14167.809863013701</v>
      </c>
      <c r="N167" s="24">
        <f>IF(N162=0,0,('Input Property 3'!$B$16*'Input Property 3'!M55)*(N162/365))</f>
        <v>14129.1</v>
      </c>
      <c r="O167" s="24">
        <f>IF(O162=0,0,('Input Property 3'!$B$16*'Input Property 3'!N55)*(O162/365))</f>
        <v>14129.1</v>
      </c>
      <c r="P167" s="24">
        <f>IF(P162=0,0,('Input Property 3'!$B$16*'Input Property 3'!O55)*(P162/365))</f>
        <v>14129.1</v>
      </c>
      <c r="Q167" s="24">
        <f>IF(Q162=0,0,('Input Property 3'!$B$16*'Input Property 3'!P55)*(Q162/365))</f>
        <v>14167.809863013701</v>
      </c>
    </row>
    <row r="168" spans="1:17" x14ac:dyDescent="0.2">
      <c r="A168" s="17" t="s">
        <v>113</v>
      </c>
      <c r="B168" s="34" t="s">
        <v>69</v>
      </c>
      <c r="C168" s="24">
        <f>('Input Property 3'!B17*'Input Property 3'!B19/(C162/365))</f>
        <v>2831.8965517241381</v>
      </c>
      <c r="D168" s="24">
        <f t="shared" ref="D168:Q168" si="31">C168</f>
        <v>2831.8965517241381</v>
      </c>
      <c r="E168" s="24">
        <f t="shared" si="31"/>
        <v>2831.8965517241381</v>
      </c>
      <c r="F168" s="24">
        <f t="shared" si="31"/>
        <v>2831.8965517241381</v>
      </c>
      <c r="G168" s="24">
        <f t="shared" si="31"/>
        <v>2831.8965517241381</v>
      </c>
      <c r="H168" s="24">
        <f t="shared" si="31"/>
        <v>2831.8965517241381</v>
      </c>
      <c r="I168" s="24">
        <f t="shared" si="31"/>
        <v>2831.8965517241381</v>
      </c>
      <c r="J168" s="24">
        <f t="shared" si="31"/>
        <v>2831.8965517241381</v>
      </c>
      <c r="K168" s="24">
        <f t="shared" si="31"/>
        <v>2831.8965517241381</v>
      </c>
      <c r="L168" s="24">
        <f t="shared" si="31"/>
        <v>2831.8965517241381</v>
      </c>
      <c r="M168" s="24">
        <f t="shared" si="31"/>
        <v>2831.8965517241381</v>
      </c>
      <c r="N168" s="24">
        <f t="shared" si="31"/>
        <v>2831.8965517241381</v>
      </c>
      <c r="O168" s="24">
        <f t="shared" si="31"/>
        <v>2831.8965517241381</v>
      </c>
      <c r="P168" s="24">
        <f t="shared" si="31"/>
        <v>2831.8965517241381</v>
      </c>
      <c r="Q168" s="24">
        <f t="shared" si="31"/>
        <v>2831.8965517241381</v>
      </c>
    </row>
    <row r="169" spans="1:17" x14ac:dyDescent="0.2">
      <c r="A169" s="17" t="str">
        <f>'Input Property 3'!I17</f>
        <v>Property Management</v>
      </c>
      <c r="B169" s="372">
        <f>'Input Property 3'!$B$58</f>
        <v>7.0000000000000007E-2</v>
      </c>
      <c r="C169" s="24">
        <f>(C165*'Data Property 3'!$B$169)</f>
        <v>592</v>
      </c>
      <c r="D169" s="63">
        <f>D165*'Input Property 3'!C58</f>
        <v>1349.3493000000001</v>
      </c>
      <c r="E169" s="24">
        <f>E165*'Input Property 3'!D58</f>
        <v>1405.9681503999998</v>
      </c>
      <c r="F169" s="24">
        <f>F165*'Input Property 3'!E58</f>
        <v>1456.6509056852999</v>
      </c>
      <c r="G169" s="24">
        <f>G165*'Input Property 3'!F58</f>
        <v>1513.4602910070264</v>
      </c>
      <c r="H169" s="24">
        <f>H165*'Input Property 3'!G58</f>
        <v>1572.4852423563002</v>
      </c>
      <c r="I169" s="24">
        <f>I165*'Input Property 3'!H58</f>
        <v>1638.4669023261679</v>
      </c>
      <c r="J169" s="24">
        <f>J165*'Input Property 3'!I58</f>
        <v>1697.5308413137154</v>
      </c>
      <c r="K169" s="24">
        <f>K165*'Input Property 3'!J58</f>
        <v>1763.7345441249499</v>
      </c>
      <c r="L169" s="24">
        <f>L165*'Input Property 3'!K58</f>
        <v>1832.5201913458229</v>
      </c>
      <c r="M169" s="24">
        <f>M165*'Input Property 3'!L58</f>
        <v>1909.4129474089034</v>
      </c>
      <c r="N169" s="24">
        <f>N165*'Input Property 3'!M58</f>
        <v>1978.2440294818341</v>
      </c>
      <c r="O169" s="24">
        <f>O165*'Input Property 3'!N58</f>
        <v>2055.3955466316256</v>
      </c>
      <c r="P169" s="24">
        <f>P165*'Input Property 3'!O58</f>
        <v>2135.5559729502588</v>
      </c>
      <c r="Q169" s="24">
        <f>Q165*'Input Property 3'!P58</f>
        <v>2225.1641449434533</v>
      </c>
    </row>
    <row r="170" spans="1:17" x14ac:dyDescent="0.2">
      <c r="A170" s="17" t="s">
        <v>56</v>
      </c>
      <c r="B170" s="373"/>
      <c r="C170" s="24">
        <f>IF(C162=0,0,C163*'Input Property 3'!B54)</f>
        <v>370</v>
      </c>
      <c r="D170" s="63">
        <f>IF(D162=0,0,D163*'Input Property 3'!C54)</f>
        <v>384.42999999999995</v>
      </c>
      <c r="E170" s="24">
        <f>IF(E162=0,0,E163*'Input Property 3'!D54)</f>
        <v>399.4227699999999</v>
      </c>
      <c r="F170" s="24">
        <f>IF(F162=0,0,F163*'Input Property 3'!E54)</f>
        <v>415.00025802999988</v>
      </c>
      <c r="G170" s="24">
        <f>IF(G162=0,0,G163*'Input Property 3'!F54)</f>
        <v>431.18526809316984</v>
      </c>
      <c r="H170" s="24">
        <f>IF(H162=0,0,H163*'Input Property 3'!G54)</f>
        <v>448.00149354880341</v>
      </c>
      <c r="I170" s="24">
        <f>IF(I162=0,0,I163*'Input Property 3'!H54)</f>
        <v>465.47355179720671</v>
      </c>
      <c r="J170" s="24">
        <f>IF(J162=0,0,J163*'Input Property 3'!I54)</f>
        <v>483.62702031729776</v>
      </c>
      <c r="K170" s="24">
        <f>IF(K162=0,0,K163*'Input Property 3'!J54)</f>
        <v>502.48847410967232</v>
      </c>
      <c r="L170" s="24">
        <f>IF(L162=0,0,L163*'Input Property 3'!K54)</f>
        <v>522.08552459994951</v>
      </c>
      <c r="M170" s="24">
        <f>IF(M162=0,0,M163*'Input Property 3'!L54)</f>
        <v>542.4468600593475</v>
      </c>
      <c r="N170" s="24">
        <f>IF(N162=0,0,N163*'Input Property 3'!M54)</f>
        <v>563.60228760166206</v>
      </c>
      <c r="O170" s="24">
        <f>IF(O162=0,0,O163*'Input Property 3'!N54)</f>
        <v>585.58277681812683</v>
      </c>
      <c r="P170" s="24">
        <f>IF(P162=0,0,P163*'Input Property 3'!O54)</f>
        <v>608.42050511403374</v>
      </c>
      <c r="Q170" s="24">
        <f>IF(Q162=0,0,Q163*'Input Property 3'!P54)</f>
        <v>632.14890481348107</v>
      </c>
    </row>
    <row r="171" spans="1:17" x14ac:dyDescent="0.2">
      <c r="A171" s="17" t="str">
        <f>'Input Property 3'!J18</f>
        <v>Insurance</v>
      </c>
      <c r="B171" s="373">
        <f>'Input Property 3'!$K$18</f>
        <v>1200</v>
      </c>
      <c r="C171" s="24">
        <f>IF(C162=0,0,'Data Property 3'!B171*(C162/365))</f>
        <v>572.05479452054794</v>
      </c>
      <c r="D171" s="63">
        <f>IF(D162=0,0,('Data Property 3'!B171*(1+'Input Property 3'!C51))*(D162/(D161-C161)))</f>
        <v>1230</v>
      </c>
      <c r="E171" s="63">
        <f>IF(E162=0,0,(D171*(1+'Input Property 3'!D51))*(E162/(E161-D161)))</f>
        <v>1260.75</v>
      </c>
      <c r="F171" s="63">
        <f>IF(F162=0,0,(E171*(1+'Input Property 3'!E51))*(F162/(F161-E161)))</f>
        <v>1292.26875</v>
      </c>
      <c r="G171" s="63">
        <f>IF(G162=0,0,(F171*(1+'Input Property 3'!F51))*(G162/(G161-F161)))</f>
        <v>1324.5754687499998</v>
      </c>
      <c r="H171" s="63">
        <f>IF(H162=0,0,(G171*(1+'Input Property 3'!G51))*(H162/(H161-G161)))</f>
        <v>1357.6898554687498</v>
      </c>
      <c r="I171" s="63">
        <f>IF(I162=0,0,(H171*(1+'Input Property 3'!H51))*(I162/(I161-H161)))</f>
        <v>1391.6321018554684</v>
      </c>
      <c r="J171" s="63">
        <f>IF(J162=0,0,(I171*(1+'Input Property 3'!I51))*(J162/(J161-I161)))</f>
        <v>1426.422904401855</v>
      </c>
      <c r="K171" s="63">
        <f>IF(K162=0,0,(J171*(1+'Input Property 3'!J51))*(K162/(K161-J161)))</f>
        <v>1462.0834770119013</v>
      </c>
      <c r="L171" s="63">
        <f>IF(L162=0,0,(K171*(1+'Input Property 3'!K51))*(L162/(L161-K161)))</f>
        <v>1498.6355639371986</v>
      </c>
      <c r="M171" s="63">
        <f>IF(M162=0,0,(L171*(1+'Input Property 3'!L51))*(M162/(M161-L161)))</f>
        <v>1536.1014530356285</v>
      </c>
      <c r="N171" s="63">
        <f>IF(N162=0,0,(M171*(1+'Input Property 3'!M51))*(N162/(N161-M161)))</f>
        <v>1574.5039893615192</v>
      </c>
      <c r="O171" s="63">
        <f>IF(O162=0,0,(N171*(1+'Input Property 3'!N51))*(O162/(O161-N161)))</f>
        <v>1613.8665890955569</v>
      </c>
      <c r="P171" s="63">
        <f>IF(P162=0,0,(O171*(1+'Input Property 3'!O51))*(P162/(P161-O161)))</f>
        <v>1654.2132538229457</v>
      </c>
      <c r="Q171" s="63">
        <f>IF(Q162=0,0,(P171*(1+'Input Property 3'!P51))*(Q162/(Q161-P161)))</f>
        <v>1695.5685851685191</v>
      </c>
    </row>
    <row r="172" spans="1:17" x14ac:dyDescent="0.2">
      <c r="A172" s="17" t="str">
        <f>'Input Property 3'!J19</f>
        <v>Maintenance</v>
      </c>
      <c r="B172" s="373">
        <f>'Input Property 3'!$K$19</f>
        <v>1000</v>
      </c>
      <c r="C172" s="24">
        <f>IF(C162=0,0,'Data Property 3'!B172*(C162/365))</f>
        <v>476.71232876712327</v>
      </c>
      <c r="D172" s="63">
        <f>IF(D162=0,0,('Data Property 3'!B172*(1+'Input Property 3'!B51))*(D162/(D161-C161)))</f>
        <v>1025</v>
      </c>
      <c r="E172" s="63">
        <f>IF(E162=0,0,(D172*(1+'Input Property 3'!C51))*(E162/(E161-D161)))</f>
        <v>1050.625</v>
      </c>
      <c r="F172" s="63">
        <f>IF(F162=0,0,(E172*(1+'Input Property 3'!D51))*(F162/(F161-E161)))</f>
        <v>1076.890625</v>
      </c>
      <c r="G172" s="63">
        <f>IF(G162=0,0,(F172*(1+'Input Property 3'!E51))*(G162/(G161-F161)))</f>
        <v>1103.8128906249999</v>
      </c>
      <c r="H172" s="63">
        <f>IF(H162=0,0,(G172*(1+'Input Property 3'!F51))*(H162/(H161-G161)))</f>
        <v>1131.4082128906248</v>
      </c>
      <c r="I172" s="63">
        <f>IF(I162=0,0,(H172*(1+'Input Property 3'!G51))*(I162/(I161-H161)))</f>
        <v>1159.6934182128903</v>
      </c>
      <c r="J172" s="63">
        <f>IF(J162=0,0,(I172*(1+'Input Property 3'!H51))*(J162/(J161-I161)))</f>
        <v>1188.6857536682123</v>
      </c>
      <c r="K172" s="63">
        <f>IF(K162=0,0,(J172*(1+'Input Property 3'!I51))*(K162/(K161-J161)))</f>
        <v>1218.4028975099175</v>
      </c>
      <c r="L172" s="63">
        <f>IF(L162=0,0,(K172*(1+'Input Property 3'!J51))*(L162/(L161-K161)))</f>
        <v>1248.8629699476653</v>
      </c>
      <c r="M172" s="63">
        <f>IF(M162=0,0,(L172*(1+'Input Property 3'!K51))*(M162/(M161-L161)))</f>
        <v>1280.0845441963568</v>
      </c>
      <c r="N172" s="63">
        <f>IF(N162=0,0,(M172*(1+'Input Property 3'!L51))*(N162/(N161-M161)))</f>
        <v>1312.0866578012656</v>
      </c>
      <c r="O172" s="63">
        <f>IF(O162=0,0,(N172*(1+'Input Property 3'!M51))*(O162/(O161-N161)))</f>
        <v>1344.8888242462972</v>
      </c>
      <c r="P172" s="63">
        <f>IF(P162=0,0,(O172*(1+'Input Property 3'!N51))*(P162/(P161-O161)))</f>
        <v>1378.5110448524545</v>
      </c>
      <c r="Q172" s="63">
        <f>IF(Q162=0,0,(P172*(1+'Input Property 3'!O51))*(Q162/(Q161-P161)))</f>
        <v>1412.9738209737657</v>
      </c>
    </row>
    <row r="173" spans="1:17" x14ac:dyDescent="0.2">
      <c r="A173" s="17" t="str">
        <f>'Input Property 3'!J20</f>
        <v>Strata</v>
      </c>
      <c r="B173" s="373">
        <f>'Input Property 3'!$K$20</f>
        <v>0</v>
      </c>
      <c r="C173" s="24">
        <f>IF(C162=0,0,'Data Property 3'!B173*(C162/365))</f>
        <v>0</v>
      </c>
      <c r="D173" s="63">
        <f>IF(D162=0,0,('Data Property 3'!B173+('Data Property 3'!B173*'Input Property 3'!C$51))*(D162/(D161-C161)))</f>
        <v>0</v>
      </c>
      <c r="E173" s="63">
        <f>IF(E162=0,0,(D173+(D173*'Input Property 3'!D$51))*(E162/(E161-D161)))</f>
        <v>0</v>
      </c>
      <c r="F173" s="63">
        <f>IF(F162=0,0,(E173+(E173*'Input Property 3'!E$51))*(F162/(F161-E161)))</f>
        <v>0</v>
      </c>
      <c r="G173" s="63">
        <f>IF(G162=0,0,(F173+(F173*'Input Property 3'!F$51))*(G162/(G161-F161)))</f>
        <v>0</v>
      </c>
      <c r="H173" s="63">
        <f>IF(H162=0,0,(G173+(G173*'Input Property 3'!G$51))*(H162/(H161-G161)))</f>
        <v>0</v>
      </c>
      <c r="I173" s="63">
        <f>IF(I162=0,0,(H173+(H173*'Input Property 3'!H$51))*(I162/(I161-H161)))</f>
        <v>0</v>
      </c>
      <c r="J173" s="63">
        <f>IF(J162=0,0,(I173+(I173*'Input Property 3'!I$51))*(J162/(J161-I161)))</f>
        <v>0</v>
      </c>
      <c r="K173" s="63">
        <f>IF(K162=0,0,(J173+(J173*'Input Property 3'!J$51))*(K162/(K161-J161)))</f>
        <v>0</v>
      </c>
      <c r="L173" s="63">
        <f>IF(L162=0,0,(K173+(K173*'Input Property 3'!K$51))*(L162/(L161-K161)))</f>
        <v>0</v>
      </c>
      <c r="M173" s="63">
        <f>IF(M162=0,0,(L173+(L173*'Input Property 3'!L$51))*(M162/(M161-L161)))</f>
        <v>0</v>
      </c>
      <c r="N173" s="63">
        <f>IF(N162=0,0,(M173+(M173*'Input Property 3'!M$51))*(N162/(N161-M161)))</f>
        <v>0</v>
      </c>
      <c r="O173" s="63">
        <f>IF(O162=0,0,(N173+(N173*'Input Property 3'!N$51))*(O162/(O161-N161)))</f>
        <v>0</v>
      </c>
      <c r="P173" s="63">
        <f>IF(P162=0,0,(O173+(O173*'Input Property 3'!O$51))*(P162/(P161-O161)))</f>
        <v>0</v>
      </c>
      <c r="Q173" s="63">
        <f>IF(Q162=0,0,(P173+(P173*'Input Property 3'!P$51))*(Q162/(Q161-P161)))</f>
        <v>0</v>
      </c>
    </row>
    <row r="174" spans="1:17" x14ac:dyDescent="0.2">
      <c r="A174" s="17" t="str">
        <f>'Input Property 3'!J21</f>
        <v>Water Charges</v>
      </c>
      <c r="B174" s="373">
        <f>'Input Property 3'!$K$21</f>
        <v>0</v>
      </c>
      <c r="C174" s="24">
        <f>IF(C162=0,0,'Data Property 3'!B174*(C162/365))</f>
        <v>0</v>
      </c>
      <c r="D174" s="24">
        <f>IF(D162=0,0,('Data Property 3'!B174+('Data Property 3'!B174*'Input Property 3'!C$51))*(D162/(D161-C161)))</f>
        <v>0</v>
      </c>
      <c r="E174" s="24">
        <f>IF(E162=0,0,(D174+(D174*'Input Property 3'!D$51))*(E162/(E161-D161)))</f>
        <v>0</v>
      </c>
      <c r="F174" s="24">
        <f>IF(F162=0,0,(E174+(E174*'Input Property 3'!E$51))*(F162/(F161-E161)))</f>
        <v>0</v>
      </c>
      <c r="G174" s="24">
        <f>IF(G162=0,0,(F174+(F174*'Input Property 3'!F$51))*(G162/(G161-F161)))</f>
        <v>0</v>
      </c>
      <c r="H174" s="24">
        <f>IF(H162=0,0,(G174+(G174*'Input Property 3'!G$51))*(H162/(H161-G161)))</f>
        <v>0</v>
      </c>
      <c r="I174" s="24">
        <f>IF(I162=0,0,(H174+(H174*'Input Property 3'!H$51))*(I162/(I161-H161)))</f>
        <v>0</v>
      </c>
      <c r="J174" s="24">
        <f>IF(J162=0,0,(I174+(I174*'Input Property 3'!I$51))*(J162/(J161-I161)))</f>
        <v>0</v>
      </c>
      <c r="K174" s="24">
        <f>IF(K162=0,0,(J174+(J174*'Input Property 3'!J$51))*(K162/(K161-J161)))</f>
        <v>0</v>
      </c>
      <c r="L174" s="24">
        <f>IF(L162=0,0,(K174+(K174*'Input Property 3'!K$51))*(L162/(L161-K161)))</f>
        <v>0</v>
      </c>
      <c r="M174" s="24">
        <f>IF(M162=0,0,(L174+(L174*'Input Property 3'!L$51))*(M162/(M161-L161)))</f>
        <v>0</v>
      </c>
      <c r="N174" s="24">
        <f>IF(N162=0,0,(M174+(M174*'Input Property 3'!M$51))*(N162/(N161-M161)))</f>
        <v>0</v>
      </c>
      <c r="O174" s="24">
        <f>IF(O162=0,0,(N174+(N174*'Input Property 3'!N$51))*(O162/(O161-N161)))</f>
        <v>0</v>
      </c>
      <c r="P174" s="24">
        <f>IF(P162=0,0,(O174+(O174*'Input Property 3'!O$51))*(P162/(P161-O161)))</f>
        <v>0</v>
      </c>
      <c r="Q174" s="24">
        <f>IF(Q162=0,0,(P174+(P174*'Input Property 3'!P$51))*(Q162/(Q161-P161)))</f>
        <v>0</v>
      </c>
    </row>
    <row r="175" spans="1:17" x14ac:dyDescent="0.2">
      <c r="A175" s="17" t="str">
        <f>'Input Property 3'!J22</f>
        <v>Cleaning</v>
      </c>
      <c r="B175" s="373">
        <f>'Input Property 3'!$K$22</f>
        <v>0</v>
      </c>
      <c r="C175" s="24">
        <f>IF(C162=0,0,('Data Property 3'!B175+('Data Property 3'!B175*'Input Property 3'!B$51))*(C162/(365)))</f>
        <v>0</v>
      </c>
      <c r="D175" s="24">
        <f>IF(D162=0,0,('Data Property 3'!B175+('Data Property 3'!B175*'Input Property 3'!C$51))*(D162/(D161-C161)))</f>
        <v>0</v>
      </c>
      <c r="E175" s="24">
        <f>IF(E162=0,0,(D175+(D175*'Input Property 3'!D$51))*(E162/(E161-D161)))</f>
        <v>0</v>
      </c>
      <c r="F175" s="24">
        <f>IF(F162=0,0,(E175+(E175*'Input Property 3'!E$51))*(F162/(F161-E161)))</f>
        <v>0</v>
      </c>
      <c r="G175" s="24">
        <f>IF(G162=0,0,(F175+(F175*'Input Property 3'!F$51))*(G162/(G161-F161)))</f>
        <v>0</v>
      </c>
      <c r="H175" s="24">
        <f>IF(H162=0,0,(G175+(G175*'Input Property 3'!G$51))*(H162/(H161-G161)))</f>
        <v>0</v>
      </c>
      <c r="I175" s="24">
        <f>IF(I162=0,0,(H175+(H175*'Input Property 3'!H$51))*(I162/(I161-H161)))</f>
        <v>0</v>
      </c>
      <c r="J175" s="24">
        <f>IF(J162=0,0,(I175+(I175*'Input Property 3'!I$51))*(J162/(J161-I161)))</f>
        <v>0</v>
      </c>
      <c r="K175" s="24">
        <f>IF(K162=0,0,(J175+(J175*'Input Property 3'!J$51))*(K162/(K161-J161)))</f>
        <v>0</v>
      </c>
      <c r="L175" s="24">
        <f>IF(L162=0,0,(K175+(K175*'Input Property 3'!K$51))*(L162/(L161-K161)))</f>
        <v>0</v>
      </c>
      <c r="M175" s="24">
        <f>IF(M162=0,0,(L175+(L175*'Input Property 3'!L$51))*(M162/(M161-L161)))</f>
        <v>0</v>
      </c>
      <c r="N175" s="24">
        <f>IF(N162=0,0,(M175+(M175*'Input Property 3'!M$51))*(N162/(N161-M161)))</f>
        <v>0</v>
      </c>
      <c r="O175" s="24">
        <f>IF(O162=0,0,(N175+(N175*'Input Property 3'!N$51))*(O162/(O161-N161)))</f>
        <v>0</v>
      </c>
      <c r="P175" s="24">
        <f>IF(P162=0,0,(O175+(O175*'Input Property 3'!O$51))*(P162/(P161-O161)))</f>
        <v>0</v>
      </c>
      <c r="Q175" s="24">
        <f>IF(Q162=0,0,(P175+(P175*'Input Property 3'!P$51))*(Q162/(Q161-P161)))</f>
        <v>0</v>
      </c>
    </row>
    <row r="176" spans="1:17" x14ac:dyDescent="0.2">
      <c r="A176" s="17" t="str">
        <f>'Input Property 3'!J23</f>
        <v>Council Rates</v>
      </c>
      <c r="B176" s="373">
        <f>'Input Property 3'!$K$23</f>
        <v>1200</v>
      </c>
      <c r="C176" s="24">
        <f>IF(C162=0,0,'Data Property 3'!B176*(C162/365))</f>
        <v>572.05479452054794</v>
      </c>
      <c r="D176" s="24">
        <f>IF(D162=0,0,('Data Property 3'!B176+('Data Property 3'!B176*'Input Property 3'!C$51))*(D162/(D161-C161)))</f>
        <v>1230</v>
      </c>
      <c r="E176" s="24">
        <f>IF(E162=0,0,(D176+(D176*'Input Property 3'!D$51))*(E162/(E161-D161)))</f>
        <v>1260.75</v>
      </c>
      <c r="F176" s="24">
        <f>IF(F162=0,0,(E176+(E176*'Input Property 3'!E$51))*(F162/(F161-E161)))</f>
        <v>1292.26875</v>
      </c>
      <c r="G176" s="24">
        <f>IF(G162=0,0,(F176+(F176*'Input Property 3'!F$51))*(G162/(G161-F161)))</f>
        <v>1324.57546875</v>
      </c>
      <c r="H176" s="24">
        <f>IF(H162=0,0,(G176+(G176*'Input Property 3'!G$51))*(H162/(H161-G161)))</f>
        <v>1357.68985546875</v>
      </c>
      <c r="I176" s="24">
        <f>IF(I162=0,0,(H176+(H176*'Input Property 3'!H$51))*(I162/(I161-H161)))</f>
        <v>1391.6321018554688</v>
      </c>
      <c r="J176" s="24">
        <f>IF(J162=0,0,(I176+(I176*'Input Property 3'!I$51))*(J162/(J161-I161)))</f>
        <v>1426.4229044018555</v>
      </c>
      <c r="K176" s="24">
        <f>IF(K162=0,0,(J176+(J176*'Input Property 3'!J$51))*(K162/(K161-J161)))</f>
        <v>1462.0834770119018</v>
      </c>
      <c r="L176" s="24">
        <f>IF(L162=0,0,(K176+(K176*'Input Property 3'!K$51))*(L162/(L161-K161)))</f>
        <v>1498.6355639371993</v>
      </c>
      <c r="M176" s="24">
        <f>IF(M162=0,0,(L176+(L176*'Input Property 3'!L$51))*(M162/(M161-L161)))</f>
        <v>1536.1014530356292</v>
      </c>
      <c r="N176" s="24">
        <f>IF(N162=0,0,(M176+(M176*'Input Property 3'!M$51))*(N162/(N161-M161)))</f>
        <v>1574.5039893615199</v>
      </c>
      <c r="O176" s="24">
        <f>IF(O162=0,0,(N176+(N176*'Input Property 3'!N$51))*(O162/(O161-N161)))</f>
        <v>1613.8665890955579</v>
      </c>
      <c r="P176" s="24">
        <f>IF(P162=0,0,(O176+(O176*'Input Property 3'!O$51))*(P162/(P161-O161)))</f>
        <v>1654.2132538229469</v>
      </c>
      <c r="Q176" s="24">
        <f>IF(Q162=0,0,(P176+(P176*'Input Property 3'!P$51))*(Q162/(Q161-P161)))</f>
        <v>1695.5685851685205</v>
      </c>
    </row>
    <row r="177" spans="1:17" x14ac:dyDescent="0.2">
      <c r="A177" s="17" t="str">
        <f>'Input Property 3'!J24</f>
        <v>Gardening / Mowing</v>
      </c>
      <c r="B177" s="373">
        <f>'Input Property 3'!$K$24</f>
        <v>0</v>
      </c>
      <c r="C177" s="24">
        <f>IF(C162=0,0,'Data Property 3'!B177*(C162/365))</f>
        <v>0</v>
      </c>
      <c r="D177" s="24">
        <f>IF(D162=0,0,('Data Property 3'!B177+('Data Property 3'!B177*'Input Property 3'!C$51))*(D162/(D161-C161)))</f>
        <v>0</v>
      </c>
      <c r="E177" s="24">
        <f>IF(E162=0,0,(D177+(D177*'Input Property 3'!D$51))*(E162/(E161-D161)))</f>
        <v>0</v>
      </c>
      <c r="F177" s="24">
        <f>IF(F162=0,0,(E177+(E177*'Input Property 3'!E$51))*(F162/(F161-E161)))</f>
        <v>0</v>
      </c>
      <c r="G177" s="24">
        <f>IF(G162=0,0,(F177+(F177*'Input Property 3'!F$51))*(G162/(G161-F161)))</f>
        <v>0</v>
      </c>
      <c r="H177" s="24">
        <f>IF(H162=0,0,(G177+(G177*'Input Property 3'!G$51))*(H162/(H161-G161)))</f>
        <v>0</v>
      </c>
      <c r="I177" s="24">
        <f>IF(I162=0,0,(H177+(H177*'Input Property 3'!H$51))*(I162/(I161-H161)))</f>
        <v>0</v>
      </c>
      <c r="J177" s="24">
        <f>IF(J162=0,0,(I177+(I177*'Input Property 3'!I$51))*(J162/(J161-I161)))</f>
        <v>0</v>
      </c>
      <c r="K177" s="24">
        <f>IF(K162=0,0,(J177+(J177*'Input Property 3'!J$51))*(K162/(K161-J161)))</f>
        <v>0</v>
      </c>
      <c r="L177" s="24">
        <f>IF(L162=0,0,(K177+(K177*'Input Property 3'!K$51))*(L162/(L161-K161)))</f>
        <v>0</v>
      </c>
      <c r="M177" s="24">
        <f>IF(M162=0,0,(L177+(L177*'Input Property 3'!L$51))*(M162/(M161-L161)))</f>
        <v>0</v>
      </c>
      <c r="N177" s="24">
        <f>IF(N162=0,0,(M177+(M177*'Input Property 3'!M$51))*(N162/(N161-M161)))</f>
        <v>0</v>
      </c>
      <c r="O177" s="24">
        <f>IF(O162=0,0,(N177+(N177*'Input Property 3'!N$51))*(O162/(O161-N161)))</f>
        <v>0</v>
      </c>
      <c r="P177" s="24">
        <f>IF(P162=0,0,(O177+(O177*'Input Property 3'!O$51))*(P162/(P161-O161)))</f>
        <v>0</v>
      </c>
      <c r="Q177" s="24">
        <f>IF(Q162=0,0,(P177+(P177*'Input Property 3'!P$51))*(Q162/(Q161-P161)))</f>
        <v>0</v>
      </c>
    </row>
    <row r="178" spans="1:17" x14ac:dyDescent="0.2">
      <c r="A178" s="17" t="str">
        <f>'Input Property 3'!J25</f>
        <v>Land Tax</v>
      </c>
      <c r="B178" s="373">
        <f>'Input Property 3'!$K$25</f>
        <v>0</v>
      </c>
      <c r="C178" s="24">
        <f>IF(C162=0,0,'Data Property 3'!B178*(C162/365))</f>
        <v>0</v>
      </c>
      <c r="D178" s="24">
        <f>IF(D162=0,0,('Data Property 3'!B178+('Data Property 3'!B178*'Input Property 3'!C$51))*(D162/(D161-C161)))</f>
        <v>0</v>
      </c>
      <c r="E178" s="24">
        <f>IF(E162=0,0,(D178+(D178*'Input Property 3'!D$51))*(E162/(E161-D161)))</f>
        <v>0</v>
      </c>
      <c r="F178" s="24">
        <f>IF(F162=0,0,(E178+(E178*'Input Property 3'!E$51))*(F162/(F161-E161)))</f>
        <v>0</v>
      </c>
      <c r="G178" s="24">
        <f>IF(G162=0,0,(F178+(F178*'Input Property 3'!F$51))*(G162/(G161-F161)))</f>
        <v>0</v>
      </c>
      <c r="H178" s="24">
        <f>IF(H162=0,0,(G178+(G178*'Input Property 3'!G$51))*(H162/(H161-G161)))</f>
        <v>0</v>
      </c>
      <c r="I178" s="24">
        <f>IF(I162=0,0,(H178+(H178*'Input Property 3'!H$51))*(I162/(I161-H161)))</f>
        <v>0</v>
      </c>
      <c r="J178" s="24">
        <f>IF(J162=0,0,(I178+(I178*'Input Property 3'!I$51))*(J162/(J161-I161)))</f>
        <v>0</v>
      </c>
      <c r="K178" s="24">
        <f>IF(K162=0,0,(J178+(J178*'Input Property 3'!J$51))*(K162/(K161-J161)))</f>
        <v>0</v>
      </c>
      <c r="L178" s="24">
        <f>IF(L162=0,0,(K178+(K178*'Input Property 3'!K$51))*(L162/(L161-K161)))</f>
        <v>0</v>
      </c>
      <c r="M178" s="24">
        <f>IF(M162=0,0,(L178+(L178*'Input Property 3'!L$51))*(M162/(M161-L161)))</f>
        <v>0</v>
      </c>
      <c r="N178" s="24">
        <f>IF(N162=0,0,(M178+(M178*'Input Property 3'!M$51))*(N162/(N161-M161)))</f>
        <v>0</v>
      </c>
      <c r="O178" s="24">
        <f>IF(O162=0,0,(N178+(N178*'Input Property 3'!N$51))*(O162/(O161-N161)))</f>
        <v>0</v>
      </c>
      <c r="P178" s="24">
        <f>IF(P162=0,0,(O178+(O178*'Input Property 3'!O$51))*(P162/(P161-O161)))</f>
        <v>0</v>
      </c>
      <c r="Q178" s="24">
        <f>IF(Q162=0,0,(P178+(P178*'Input Property 3'!P$51))*(Q162/(Q161-P161)))</f>
        <v>0</v>
      </c>
    </row>
    <row r="179" spans="1:17" x14ac:dyDescent="0.2">
      <c r="A179" s="17" t="str">
        <f>'Input Property 3'!J26</f>
        <v>Legal Expenses</v>
      </c>
      <c r="B179" s="373">
        <f>'Input Property 3'!$K$26</f>
        <v>0</v>
      </c>
      <c r="C179" s="24">
        <f>IF(C162=0,0,'Data Property 3'!B179*(C162/365))</f>
        <v>0</v>
      </c>
      <c r="D179" s="24">
        <f>IF(D162=0,0,('Data Property 3'!B179+('Data Property 3'!B179*'Input Property 3'!C$51))*(D162/(D161-C161)))</f>
        <v>0</v>
      </c>
      <c r="E179" s="24">
        <f>IF(E162=0,0,(D179+(D179*'Input Property 3'!D$51))*(E162/(E161-D161)))</f>
        <v>0</v>
      </c>
      <c r="F179" s="24">
        <f>IF(F162=0,0,(E179+(E179*'Input Property 3'!E$51))*(F162/(F161-E161)))</f>
        <v>0</v>
      </c>
      <c r="G179" s="24">
        <f>IF(G162=0,0,(F179+(F179*'Input Property 3'!F$51))*(G162/(G161-F161)))</f>
        <v>0</v>
      </c>
      <c r="H179" s="24">
        <f>IF(H162=0,0,(G179+(G179*'Input Property 3'!G$51))*(H162/(H161-G161)))</f>
        <v>0</v>
      </c>
      <c r="I179" s="24">
        <f>IF(I162=0,0,(H179+(H179*'Input Property 3'!H$51))*(I162/(I161-H161)))</f>
        <v>0</v>
      </c>
      <c r="J179" s="24">
        <f>IF(J162=0,0,(I179+(I179*'Input Property 3'!I$51))*(J162/(J161-I161)))</f>
        <v>0</v>
      </c>
      <c r="K179" s="24">
        <f>IF(K162=0,0,(J179+(J179*'Input Property 3'!J$51))*(K162/(K161-J161)))</f>
        <v>0</v>
      </c>
      <c r="L179" s="24">
        <f>IF(L162=0,0,K179+(K179*'Input Property 3'!K$51)*(L162/(L161-K161)))</f>
        <v>0</v>
      </c>
      <c r="M179" s="24">
        <f>IF(M162=0,0,L179+(L179*'Input Property 3'!L$51)*(M162/(M161-L161)))</f>
        <v>0</v>
      </c>
      <c r="N179" s="24">
        <f>IF(N162=0,0,M179+(M179*'Input Property 3'!M$51)*(N162/(N161-M161)))</f>
        <v>0</v>
      </c>
      <c r="O179" s="24">
        <f>IF(O162=0,0,N179+(N179*'Input Property 3'!N$51)*(O162/(O161-N161)))</f>
        <v>0</v>
      </c>
      <c r="P179" s="24">
        <f>IF(P162=0,0,O179+(O179*'Input Property 3'!O$51)*(P162/(P161-O161)))</f>
        <v>0</v>
      </c>
      <c r="Q179" s="24">
        <f>IF(Q162=0,0,P179+(P179*'Input Property 3'!P$51)*(Q162/(Q161-P161)))</f>
        <v>0</v>
      </c>
    </row>
    <row r="180" spans="1:17" x14ac:dyDescent="0.2">
      <c r="A180" s="17" t="str">
        <f>'Input Property 3'!J27</f>
        <v>Pest Control</v>
      </c>
      <c r="B180" s="373">
        <f>'Input Property 3'!$K$27</f>
        <v>0</v>
      </c>
      <c r="C180" s="24">
        <f>IF(C162=0,0,'Data Property 3'!B180*(C162/365))</f>
        <v>0</v>
      </c>
      <c r="D180" s="24">
        <f>IF(D162=0,0,('Data Property 3'!B180+('Data Property 3'!B180*'Input Property 3'!C$51))*(D162/(D161-C161)))</f>
        <v>0</v>
      </c>
      <c r="E180" s="24">
        <f>IF(E162=0,0,(D180+(D180*'Input Property 3'!D$51))*(E162/(E161-D161)))</f>
        <v>0</v>
      </c>
      <c r="F180" s="24">
        <f>IF(F162=0,0,(E180+(E180*'Input Property 3'!E$51))*(F162/(F161-E161)))</f>
        <v>0</v>
      </c>
      <c r="G180" s="24">
        <f>IF(G162=0,0,(F180+(F180*'Input Property 3'!F$51))*(G162/(G161-F161)))</f>
        <v>0</v>
      </c>
      <c r="H180" s="24">
        <f>IF(H162=0,0,(G180+(G180*'Input Property 3'!G$51))*(H162/(H161-G161)))</f>
        <v>0</v>
      </c>
      <c r="I180" s="24">
        <f>IF(I162=0,0,(H180+(H180*'Input Property 3'!H$51))*(I162/(I161-H161)))</f>
        <v>0</v>
      </c>
      <c r="J180" s="24">
        <f>IF(J162=0,0,(I180+(I180*'Input Property 3'!I$51))*(J162/(J161-I161)))</f>
        <v>0</v>
      </c>
      <c r="K180" s="24">
        <f>IF(K162=0,0,(J180+(J180*'Input Property 3'!J$51))*(K162/(K161-J161)))</f>
        <v>0</v>
      </c>
      <c r="L180" s="24">
        <f>IF(L162=0,0,(K180+(K180*'Input Property 3'!K$51))*(L162/(L161-K161)))</f>
        <v>0</v>
      </c>
      <c r="M180" s="24">
        <f>IF(M162=0,0,(L180+(L180*'Input Property 3'!L$51))*(M162/(M161-L161)))</f>
        <v>0</v>
      </c>
      <c r="N180" s="24">
        <f>IF(N162=0,0,(M180+(M180*'Input Property 3'!M$51))*(N162/(N161-M161)))</f>
        <v>0</v>
      </c>
      <c r="O180" s="24">
        <f>IF(O162=0,0,(N180+(N180*'Input Property 3'!N$51))*(O162/(O161-N161)))</f>
        <v>0</v>
      </c>
      <c r="P180" s="24">
        <f>IF(P162=0,0,(O180+(O180*'Input Property 3'!O$51))*(P162/(P161-O161)))</f>
        <v>0</v>
      </c>
      <c r="Q180" s="24">
        <f>IF(Q162=0,0,(P180+(P180*'Input Property 3'!P$51))*(Q162/(Q161-P161)))</f>
        <v>0</v>
      </c>
    </row>
    <row r="181" spans="1:17" x14ac:dyDescent="0.2">
      <c r="A181" s="17" t="str">
        <f>'Input Property 3'!J28</f>
        <v>Bookkeeping</v>
      </c>
      <c r="B181" s="373">
        <f>'Input Property 3'!$K$28</f>
        <v>0</v>
      </c>
      <c r="C181" s="24">
        <f>IF(C162=0,0,'Data Property 3'!B181*(C162/365))</f>
        <v>0</v>
      </c>
      <c r="D181" s="24">
        <f>IF(D162=0,0,('Data Property 3'!B181+('Data Property 3'!B181*'Input Property 3'!C$51))*(D162/(D161-C161)))</f>
        <v>0</v>
      </c>
      <c r="E181" s="24">
        <f>IF(E162=0,0,(D181+(D181*'Input Property 3'!D$51))*(E162/(E161-D161)))</f>
        <v>0</v>
      </c>
      <c r="F181" s="24">
        <f>IF(F162=0,0,(E181+(E181*'Input Property 3'!E$51))*(F162/(F161-E161)))</f>
        <v>0</v>
      </c>
      <c r="G181" s="24">
        <f>IF(G162=0,0,(F181+(F181*'Input Property 3'!F$51))*(G162/(G161-F161)))</f>
        <v>0</v>
      </c>
      <c r="H181" s="24">
        <f>IF(H162=0,0,(G181+(G181*'Input Property 3'!G$51))*(H162/(H161-G161)))</f>
        <v>0</v>
      </c>
      <c r="I181" s="24">
        <f>IF(I162=0,0,(H181+(H181*'Input Property 3'!H$51))*(I162/(I161-H161)))</f>
        <v>0</v>
      </c>
      <c r="J181" s="24">
        <f>IF(J162=0,0,(I181+(I181*'Input Property 3'!I$51))*(J162/(J161-I161)))</f>
        <v>0</v>
      </c>
      <c r="K181" s="24">
        <f>IF(K162=0,0,(J181+(J181*'Input Property 3'!J$51))*(K162/(K161-J161)))</f>
        <v>0</v>
      </c>
      <c r="L181" s="24">
        <f>IF(L162=0,0,(K181+(K181*'Input Property 3'!K$51))*(L162/(L161-K161)))</f>
        <v>0</v>
      </c>
      <c r="M181" s="24">
        <f>IF(M162=0,0,(L181+(L181*'Input Property 3'!L$51))*(M162/(M161-L161)))</f>
        <v>0</v>
      </c>
      <c r="N181" s="24">
        <f>IF(N162=0,0,(M181+(M181*'Input Property 3'!M$51))*(N162/(N161-M161)))</f>
        <v>0</v>
      </c>
      <c r="O181" s="24">
        <f>IF(O162=0,0,(N181+(N181*'Input Property 3'!N$51))*(O162/(O161-N161)))</f>
        <v>0</v>
      </c>
      <c r="P181" s="24">
        <f>IF(P162=0,0,(O181+(O181*'Input Property 3'!O$51))*(P162/(P161-O161)))</f>
        <v>0</v>
      </c>
      <c r="Q181" s="24">
        <f>IF(Q162=0,0,(P181+(P181*'Input Property 3'!P$51))*(Q162/(Q161-P161)))</f>
        <v>0</v>
      </c>
    </row>
    <row r="182" spans="1:17" x14ac:dyDescent="0.2">
      <c r="A182" s="17" t="str">
        <f>'Input Property 3'!J29</f>
        <v>Postage and Stationery</v>
      </c>
      <c r="B182" s="373">
        <f>'Input Property 3'!$K$29</f>
        <v>0</v>
      </c>
      <c r="C182" s="24">
        <f>IF(C162=0,0,'Data Property 3'!B182*(C162/365))</f>
        <v>0</v>
      </c>
      <c r="D182" s="24">
        <f>IF(D162=0,0,('Data Property 3'!B182+('Data Property 3'!B182*'Input Property 3'!C$51))*(D162/(D161-C161)))</f>
        <v>0</v>
      </c>
      <c r="E182" s="24">
        <f>IF(E162=0,0,(D182+(D182*'Input Property 3'!D$51))*(E162/(E161-D161)))</f>
        <v>0</v>
      </c>
      <c r="F182" s="24">
        <f>IF(F162=0,0,(E182+(E182*'Input Property 3'!E$51))*(F162/(F161-E161)))</f>
        <v>0</v>
      </c>
      <c r="G182" s="24">
        <f>IF(G162=0,0,(F182+(F182*'Input Property 3'!F$51))*(G162/(G161-F161)))</f>
        <v>0</v>
      </c>
      <c r="H182" s="24">
        <f>IF(H162=0,0,(G182+(G182*'Input Property 3'!G$51))*(H162/(H161-G161)))</f>
        <v>0</v>
      </c>
      <c r="I182" s="24">
        <f>IF(I162=0,0,(H182+(H182*'Input Property 3'!H$51))*(I162/(I161-H161)))</f>
        <v>0</v>
      </c>
      <c r="J182" s="24">
        <f>IF(J162=0,0,(I182+(I182*'Input Property 3'!I$51))*(J162/(J161-I161)))</f>
        <v>0</v>
      </c>
      <c r="K182" s="24">
        <f>IF(K162=0,0,(J182+(J182*'Input Property 3'!J$51))*(K162/(K161-J161)))</f>
        <v>0</v>
      </c>
      <c r="L182" s="24">
        <f>IF(L162=0,0,(K182+(K182*'Input Property 3'!K$51))*(L162/(L161-K161)))</f>
        <v>0</v>
      </c>
      <c r="M182" s="24">
        <f>IF(M162=0,0,(L182+(L182*'Input Property 3'!L$51))*(M162/(M161-L161)))</f>
        <v>0</v>
      </c>
      <c r="N182" s="24">
        <f>IF(N162=0,0,(M182+(M182*'Input Property 3'!M$51))*(N162/(N161-M161)))</f>
        <v>0</v>
      </c>
      <c r="O182" s="24">
        <f>IF(O162=0,0,(N182+(N182*'Input Property 3'!N$51))*(O162/(O161-N161)))</f>
        <v>0</v>
      </c>
      <c r="P182" s="24">
        <f>IF(P162=0,0,(O182+(O182*'Input Property 3'!O$51))*(P162/(P161-O161)))</f>
        <v>0</v>
      </c>
      <c r="Q182" s="24">
        <f>IF(Q162=0,0,(P182+(P182*'Input Property 3'!P$51))*(Q162/(Q161-P161)))</f>
        <v>0</v>
      </c>
    </row>
    <row r="183" spans="1:17" x14ac:dyDescent="0.2">
      <c r="A183" s="17" t="str">
        <f>'Input Property 3'!J30</f>
        <v>Tax Related Expenses</v>
      </c>
      <c r="B183" s="373">
        <f>'Input Property 3'!$K$30</f>
        <v>574.75</v>
      </c>
      <c r="C183" s="24">
        <f>IF(C162=0,0,'Data Property 3'!B183*(C162/365))</f>
        <v>273.99041095890408</v>
      </c>
      <c r="D183" s="24">
        <f>IF(D162=0,0,('Data Property 3'!B183+('Data Property 3'!B183*'Input Property 3'!C$51))*(D162/(D161-C161)))</f>
        <v>589.11874999999998</v>
      </c>
      <c r="E183" s="24">
        <f>IF(E162=0,0,(D183+(D183*'Input Property 3'!D$51))*(E162/(E161-D161)))</f>
        <v>603.84671874999992</v>
      </c>
      <c r="F183" s="24">
        <f>IF(F162=0,0,(E183+(E183*'Input Property 3'!E$51))*(F162/(F161-E161)))</f>
        <v>618.94288671874995</v>
      </c>
      <c r="G183" s="24">
        <f>IF(G162=0,0,(F183+(F183*'Input Property 3'!F$51))*(G162/(G161-F161)))</f>
        <v>634.41645888671871</v>
      </c>
      <c r="H183" s="24">
        <f>IF(H162=0,0,(G183+(G183*'Input Property 3'!G$51))*(H162/(H161-G161)))</f>
        <v>650.27687035888664</v>
      </c>
      <c r="I183" s="24">
        <f>IF(I162=0,0,(H183+(H183*'Input Property 3'!H$51))*(I162/(I161-H161)))</f>
        <v>666.53379211785875</v>
      </c>
      <c r="J183" s="24">
        <f>IF(J162=0,0,(I183+(I183*'Input Property 3'!I$51))*(J162/(J161-I161)))</f>
        <v>683.19713692080518</v>
      </c>
      <c r="K183" s="24">
        <f>IF(K162=0,0,(J183+(J183*'Input Property 3'!J$51))*(K162/(K161-J161)))</f>
        <v>700.27706534382526</v>
      </c>
      <c r="L183" s="24">
        <f>IF(L162=0,0,(K183+(K183*'Input Property 3'!K$51))*(L162/(L161-K161)))</f>
        <v>717.7839919774209</v>
      </c>
      <c r="M183" s="24">
        <f>IF(M162=0,0,(L183+(L183*'Input Property 3'!L$51))*(M162/(M161-L161)))</f>
        <v>735.72859177685643</v>
      </c>
      <c r="N183" s="24">
        <f>IF(N162=0,0,(M183+(M183*'Input Property 3'!M$51))*(N162/(N161-M161)))</f>
        <v>754.12180657127783</v>
      </c>
      <c r="O183" s="24">
        <f>IF(O162=0,0,(N183+(N183*'Input Property 3'!N$51))*(O162/(O161-N161)))</f>
        <v>772.97485173555981</v>
      </c>
      <c r="P183" s="24">
        <f>IF(P162=0,0,(O183+(O183*'Input Property 3'!O$51))*(P162/(P161-O161)))</f>
        <v>792.29922302894886</v>
      </c>
      <c r="Q183" s="24">
        <f>IF(Q162=0,0,(P183+(P183*'Input Property 3'!P$51))*(Q162/(Q161-P161)))</f>
        <v>812.10670360467259</v>
      </c>
    </row>
    <row r="184" spans="1:17" x14ac:dyDescent="0.2">
      <c r="A184" s="17" t="str">
        <f>'Input Property 3'!J31</f>
        <v>Travel and Car Expenses</v>
      </c>
      <c r="B184" s="373">
        <f>'Input Property 3'!$K$31</f>
        <v>0</v>
      </c>
      <c r="C184" s="24">
        <f>IF(C162=0,0,'Data Property 3'!B184*(C162/365))</f>
        <v>0</v>
      </c>
      <c r="D184" s="24">
        <f>IF(D162=0,0,('Data Property 3'!B184+('Data Property 3'!B184*'Input Property 3'!C$51))*(D162/365))</f>
        <v>0</v>
      </c>
      <c r="E184" s="24">
        <f>IF(E162=0,0,(D184+(D184*'Input Property 3'!D$51))*(E162/365))</f>
        <v>0</v>
      </c>
      <c r="F184" s="24">
        <f>IF(F162=0,0,(E184+(E184*'Input Property 3'!E$51))*(F162/365))</f>
        <v>0</v>
      </c>
      <c r="G184" s="24">
        <f>IF(G162=0,0,(F184+(F184*'Input Property 3'!F$51))*(G162/365))</f>
        <v>0</v>
      </c>
      <c r="H184" s="24">
        <f>IF(H162=0,0,(G184+(G184*'Input Property 3'!G$51))*(H162/365))</f>
        <v>0</v>
      </c>
      <c r="I184" s="24">
        <f>IF(I162=0,0,(H184+(H184*'Input Property 3'!H$51))*(I162/365))</f>
        <v>0</v>
      </c>
      <c r="J184" s="24">
        <f>IF(J162=0,0,(I184+(I184*'Input Property 3'!I$51))*(J162/365))</f>
        <v>0</v>
      </c>
      <c r="K184" s="24">
        <f>IF(K162=0,0,(J184+(J184*'Input Property 3'!J$51))*(K162/365))</f>
        <v>0</v>
      </c>
      <c r="L184" s="24">
        <f>IF(L162=0,0,(K184+(K184*'Input Property 3'!K$51))*(L162/365))</f>
        <v>0</v>
      </c>
      <c r="M184" s="24">
        <f>IF(M162=0,0,(L184+(L184*'Input Property 3'!L$51))*(M162/365))</f>
        <v>0</v>
      </c>
      <c r="N184" s="24">
        <f>IF(N162=0,0,(M184+(M184*'Input Property 3'!M$51))*(N162/365))</f>
        <v>0</v>
      </c>
      <c r="O184" s="24">
        <f>IF(O162=0,0,(N184+(N184*'Input Property 3'!N$51))*(O162/365))</f>
        <v>0</v>
      </c>
      <c r="P184" s="24">
        <f>IF(P162=0,0,(O184+(O184*'Input Property 3'!O$51))*(P162/365))</f>
        <v>0</v>
      </c>
      <c r="Q184" s="24">
        <f>IF(Q162=0,0,(P184+(P184*'Input Property 3'!P$51))*(Q162/365))</f>
        <v>0</v>
      </c>
    </row>
    <row r="185" spans="1:17" x14ac:dyDescent="0.2">
      <c r="A185" s="17" t="str">
        <f>'Input Property 3'!A63</f>
        <v>Once Off Expenses</v>
      </c>
      <c r="B185" s="373"/>
      <c r="C185" s="24">
        <f>'Input Property 3'!B63</f>
        <v>50</v>
      </c>
      <c r="D185" s="24">
        <f>'Input Property 3'!C63</f>
        <v>0</v>
      </c>
      <c r="E185" s="24">
        <f>'Input Property 3'!D63</f>
        <v>0</v>
      </c>
      <c r="F185" s="24">
        <f>'Input Property 3'!E63</f>
        <v>0</v>
      </c>
      <c r="G185" s="24">
        <f>'Input Property 3'!F63</f>
        <v>0</v>
      </c>
      <c r="H185" s="24">
        <f>'Input Property 3'!G63</f>
        <v>0</v>
      </c>
      <c r="I185" s="24">
        <f>'Input Property 3'!H63</f>
        <v>0</v>
      </c>
      <c r="J185" s="24">
        <f>'Input Property 3'!I63</f>
        <v>0</v>
      </c>
      <c r="K185" s="24">
        <f>'Input Property 3'!J63</f>
        <v>0</v>
      </c>
      <c r="L185" s="24">
        <f>'Input Property 3'!K63</f>
        <v>0</v>
      </c>
      <c r="M185" s="24">
        <f>'Input Property 3'!L63</f>
        <v>0</v>
      </c>
      <c r="N185" s="24">
        <f>'Input Property 3'!M63</f>
        <v>0</v>
      </c>
      <c r="O185" s="24">
        <f>'Input Property 3'!N63</f>
        <v>0</v>
      </c>
      <c r="P185" s="24">
        <f>'Input Property 3'!O63</f>
        <v>0</v>
      </c>
      <c r="Q185" s="24">
        <f>'Input Property 3'!P63</f>
        <v>0</v>
      </c>
    </row>
    <row r="186" spans="1:17" x14ac:dyDescent="0.2">
      <c r="A186" s="35" t="s">
        <v>70</v>
      </c>
      <c r="B186" s="24"/>
      <c r="C186" s="24">
        <f t="shared" ref="C186:Q186" si="32">SUM(C169:C185)</f>
        <v>2906.8123287671237</v>
      </c>
      <c r="D186" s="24">
        <f t="shared" si="32"/>
        <v>5807.8980499999998</v>
      </c>
      <c r="E186" s="24">
        <f t="shared" si="32"/>
        <v>5981.3626391499993</v>
      </c>
      <c r="F186" s="24">
        <f t="shared" si="32"/>
        <v>6152.02217543405</v>
      </c>
      <c r="G186" s="24">
        <f t="shared" si="32"/>
        <v>6332.0258461119147</v>
      </c>
      <c r="H186" s="24">
        <f t="shared" si="32"/>
        <v>6517.5515300921143</v>
      </c>
      <c r="I186" s="24">
        <f t="shared" si="32"/>
        <v>6713.4318681650602</v>
      </c>
      <c r="J186" s="24">
        <f t="shared" si="32"/>
        <v>6905.8865610237417</v>
      </c>
      <c r="K186" s="24">
        <f t="shared" si="32"/>
        <v>7109.0699351121684</v>
      </c>
      <c r="L186" s="24">
        <f t="shared" si="32"/>
        <v>7318.5238057452561</v>
      </c>
      <c r="M186" s="24">
        <f t="shared" si="32"/>
        <v>7539.8758495127222</v>
      </c>
      <c r="N186" s="24">
        <f t="shared" si="32"/>
        <v>7757.0627601790784</v>
      </c>
      <c r="O186" s="24">
        <f t="shared" si="32"/>
        <v>7986.5751776227253</v>
      </c>
      <c r="P186" s="24">
        <f t="shared" si="32"/>
        <v>8223.213253591588</v>
      </c>
      <c r="Q186" s="24">
        <f t="shared" si="32"/>
        <v>8473.5307446724128</v>
      </c>
    </row>
    <row r="187" spans="1:17" x14ac:dyDescent="0.2">
      <c r="A187" s="28" t="s">
        <v>49</v>
      </c>
      <c r="B187" s="24"/>
      <c r="C187" s="24">
        <f t="shared" ref="C187:Q187" si="33">C186+C167+C168</f>
        <v>12474.225044874824</v>
      </c>
      <c r="D187" s="24">
        <f t="shared" si="33"/>
        <v>22768.89460172414</v>
      </c>
      <c r="E187" s="24">
        <f t="shared" si="33"/>
        <v>22981.069053887837</v>
      </c>
      <c r="F187" s="24">
        <f t="shared" si="33"/>
        <v>23113.018727158189</v>
      </c>
      <c r="G187" s="24">
        <f t="shared" si="33"/>
        <v>23293.022397836052</v>
      </c>
      <c r="H187" s="24">
        <f t="shared" si="33"/>
        <v>23478.548081816254</v>
      </c>
      <c r="I187" s="24">
        <f t="shared" si="33"/>
        <v>23713.138282902899</v>
      </c>
      <c r="J187" s="24">
        <f t="shared" si="33"/>
        <v>23866.883112747881</v>
      </c>
      <c r="K187" s="24">
        <f t="shared" si="33"/>
        <v>24070.066486836306</v>
      </c>
      <c r="L187" s="24">
        <f t="shared" si="33"/>
        <v>24279.520357469395</v>
      </c>
      <c r="M187" s="24">
        <f t="shared" si="33"/>
        <v>24539.582264250559</v>
      </c>
      <c r="N187" s="24">
        <f t="shared" si="33"/>
        <v>24718.059311903216</v>
      </c>
      <c r="O187" s="24">
        <f t="shared" si="33"/>
        <v>24947.571729346862</v>
      </c>
      <c r="P187" s="24">
        <f t="shared" si="33"/>
        <v>25184.209805315724</v>
      </c>
      <c r="Q187" s="24">
        <f t="shared" si="33"/>
        <v>25473.237159410251</v>
      </c>
    </row>
    <row r="188" spans="1:17" x14ac:dyDescent="0.2">
      <c r="A188" s="9" t="s">
        <v>13</v>
      </c>
      <c r="B188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</row>
    <row r="189" spans="1:17" x14ac:dyDescent="0.2">
      <c r="A189" s="25" t="s">
        <v>37</v>
      </c>
      <c r="B189" s="20"/>
      <c r="C189" s="24">
        <f t="shared" ref="C189:Q189" si="34">C165-C187</f>
        <v>-4017.0821877319668</v>
      </c>
      <c r="D189" s="24">
        <f t="shared" si="34"/>
        <v>-3492.4760302955692</v>
      </c>
      <c r="E189" s="24">
        <f t="shared" si="34"/>
        <v>-2895.8097624592701</v>
      </c>
      <c r="F189" s="24">
        <f t="shared" si="34"/>
        <v>-2303.7200745110495</v>
      </c>
      <c r="G189" s="24">
        <f t="shared" si="34"/>
        <v>-1672.1610977356759</v>
      </c>
      <c r="H189" s="24">
        <f t="shared" si="34"/>
        <v>-1014.4731910119663</v>
      </c>
      <c r="I189" s="24">
        <f t="shared" si="34"/>
        <v>-306.46824967193243</v>
      </c>
      <c r="J189" s="24">
        <f t="shared" si="34"/>
        <v>383.55747744805194</v>
      </c>
      <c r="K189" s="24">
        <f t="shared" si="34"/>
        <v>1126.1412863772639</v>
      </c>
      <c r="L189" s="24">
        <f t="shared" si="34"/>
        <v>1899.3395188995019</v>
      </c>
      <c r="M189" s="24">
        <f t="shared" si="34"/>
        <v>2737.7455558766305</v>
      </c>
      <c r="N189" s="24">
        <f t="shared" si="34"/>
        <v>3542.5696806944106</v>
      </c>
      <c r="O189" s="24">
        <f t="shared" si="34"/>
        <v>4415.2217939620714</v>
      </c>
      <c r="P189" s="24">
        <f t="shared" si="34"/>
        <v>5323.7326654022545</v>
      </c>
      <c r="Q189" s="24">
        <f t="shared" si="34"/>
        <v>6314.8220540676521</v>
      </c>
    </row>
    <row r="190" spans="1:17" x14ac:dyDescent="0.2">
      <c r="A190" s="25" t="s">
        <v>172</v>
      </c>
      <c r="B190" s="20"/>
      <c r="C190" s="24">
        <f>(C189/(C162/7))</f>
        <v>-161.60675467887222</v>
      </c>
      <c r="D190" s="24">
        <f>D189/'Input Property 3'!$B$64</f>
        <v>-66.841646512833861</v>
      </c>
      <c r="E190" s="24">
        <f>E189/'Input Property 3'!$B$64</f>
        <v>-55.422196410703734</v>
      </c>
      <c r="F190" s="24">
        <f>F189/'Input Property 3'!$B$64</f>
        <v>-44.090336354278456</v>
      </c>
      <c r="G190" s="24">
        <f>G189/'Input Property 3'!$B$64</f>
        <v>-32.003083210252171</v>
      </c>
      <c r="H190" s="24">
        <f>H189/'Input Property 3'!$B$64</f>
        <v>-19.41575485190366</v>
      </c>
      <c r="I190" s="24">
        <f>I189/'Input Property 3'!$B$64</f>
        <v>-5.8654210463527736</v>
      </c>
      <c r="J190" s="24">
        <f>J189/'Input Property 3'!$B$64</f>
        <v>7.3408129655129555</v>
      </c>
      <c r="K190" s="24">
        <f>K189/'Input Property 3'!$B$64</f>
        <v>21.552943279947634</v>
      </c>
      <c r="L190" s="24">
        <f>L189/'Input Property 3'!$B$64</f>
        <v>36.350995577023959</v>
      </c>
      <c r="M190" s="24">
        <f>M189/'Input Property 3'!$B$64</f>
        <v>52.397044131610151</v>
      </c>
      <c r="N190" s="24">
        <f>N189/'Input Property 3'!$B$64</f>
        <v>67.800376664007857</v>
      </c>
      <c r="O190" s="24">
        <f>O189/'Input Property 3'!$B$64</f>
        <v>84.501852516020506</v>
      </c>
      <c r="P190" s="24">
        <f>P189/'Input Property 3'!$B$64</f>
        <v>101.88962039047377</v>
      </c>
      <c r="Q190" s="24">
        <f>Q189/'Input Property 3'!$B$64</f>
        <v>120.85783835536176</v>
      </c>
    </row>
    <row r="191" spans="1:17" x14ac:dyDescent="0.2">
      <c r="A191" s="29" t="s">
        <v>12</v>
      </c>
      <c r="B191" s="20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</row>
    <row r="192" spans="1:17" x14ac:dyDescent="0.2">
      <c r="A192" s="17" t="s">
        <v>53</v>
      </c>
      <c r="B192" s="10"/>
      <c r="C192" s="24">
        <f t="shared" ref="C192:Q192" si="35">C167+C168</f>
        <v>9567.4127161076995</v>
      </c>
      <c r="D192" s="24">
        <f t="shared" si="35"/>
        <v>16960.99655172414</v>
      </c>
      <c r="E192" s="24">
        <f t="shared" si="35"/>
        <v>16999.706414737841</v>
      </c>
      <c r="F192" s="24">
        <f t="shared" si="35"/>
        <v>16960.99655172414</v>
      </c>
      <c r="G192" s="24">
        <f t="shared" si="35"/>
        <v>16960.99655172414</v>
      </c>
      <c r="H192" s="24">
        <f t="shared" si="35"/>
        <v>16960.99655172414</v>
      </c>
      <c r="I192" s="24">
        <f t="shared" si="35"/>
        <v>16999.706414737841</v>
      </c>
      <c r="J192" s="24">
        <f t="shared" si="35"/>
        <v>16960.99655172414</v>
      </c>
      <c r="K192" s="24">
        <f t="shared" si="35"/>
        <v>16960.99655172414</v>
      </c>
      <c r="L192" s="24">
        <f t="shared" si="35"/>
        <v>16960.99655172414</v>
      </c>
      <c r="M192" s="24">
        <f t="shared" si="35"/>
        <v>16999.706414737841</v>
      </c>
      <c r="N192" s="24">
        <f t="shared" si="35"/>
        <v>16960.99655172414</v>
      </c>
      <c r="O192" s="24">
        <f t="shared" si="35"/>
        <v>16960.99655172414</v>
      </c>
      <c r="P192" s="24">
        <f t="shared" si="35"/>
        <v>16960.99655172414</v>
      </c>
      <c r="Q192" s="24">
        <f t="shared" si="35"/>
        <v>16999.706414737841</v>
      </c>
    </row>
    <row r="193" spans="1:17" x14ac:dyDescent="0.2">
      <c r="A193" s="17" t="s">
        <v>52</v>
      </c>
      <c r="B193" s="15"/>
      <c r="C193" s="24">
        <f t="shared" ref="C193:Q193" si="36">C186</f>
        <v>2906.8123287671237</v>
      </c>
      <c r="D193" s="24">
        <f t="shared" si="36"/>
        <v>5807.8980499999998</v>
      </c>
      <c r="E193" s="24">
        <f t="shared" si="36"/>
        <v>5981.3626391499993</v>
      </c>
      <c r="F193" s="24">
        <f t="shared" si="36"/>
        <v>6152.02217543405</v>
      </c>
      <c r="G193" s="24">
        <f t="shared" si="36"/>
        <v>6332.0258461119147</v>
      </c>
      <c r="H193" s="24">
        <f t="shared" si="36"/>
        <v>6517.5515300921143</v>
      </c>
      <c r="I193" s="24">
        <f t="shared" si="36"/>
        <v>6713.4318681650602</v>
      </c>
      <c r="J193" s="24">
        <f t="shared" si="36"/>
        <v>6905.8865610237417</v>
      </c>
      <c r="K193" s="24">
        <f t="shared" si="36"/>
        <v>7109.0699351121684</v>
      </c>
      <c r="L193" s="24">
        <f t="shared" si="36"/>
        <v>7318.5238057452561</v>
      </c>
      <c r="M193" s="24">
        <f t="shared" si="36"/>
        <v>7539.8758495127222</v>
      </c>
      <c r="N193" s="24">
        <f t="shared" si="36"/>
        <v>7757.0627601790784</v>
      </c>
      <c r="O193" s="24">
        <f t="shared" si="36"/>
        <v>7986.5751776227253</v>
      </c>
      <c r="P193" s="24">
        <f t="shared" si="36"/>
        <v>8223.213253591588</v>
      </c>
      <c r="Q193" s="24">
        <f t="shared" si="36"/>
        <v>8473.5307446724128</v>
      </c>
    </row>
    <row r="194" spans="1:17" x14ac:dyDescent="0.2">
      <c r="A194" s="36" t="s">
        <v>47</v>
      </c>
      <c r="B194" s="24"/>
      <c r="C194" s="24">
        <f t="shared" ref="C194:Q194" si="37">SUM(C192:C193)</f>
        <v>12474.225044874824</v>
      </c>
      <c r="D194" s="24">
        <f t="shared" si="37"/>
        <v>22768.89460172414</v>
      </c>
      <c r="E194" s="24">
        <f t="shared" si="37"/>
        <v>22981.069053887841</v>
      </c>
      <c r="F194" s="24">
        <f t="shared" si="37"/>
        <v>23113.018727158189</v>
      </c>
      <c r="G194" s="24">
        <f t="shared" si="37"/>
        <v>23293.022397836055</v>
      </c>
      <c r="H194" s="24">
        <f t="shared" si="37"/>
        <v>23478.548081816254</v>
      </c>
      <c r="I194" s="24">
        <f t="shared" si="37"/>
        <v>23713.138282902903</v>
      </c>
      <c r="J194" s="24">
        <f t="shared" si="37"/>
        <v>23866.883112747881</v>
      </c>
      <c r="K194" s="24">
        <f t="shared" si="37"/>
        <v>24070.066486836309</v>
      </c>
      <c r="L194" s="24">
        <f t="shared" si="37"/>
        <v>24279.520357469395</v>
      </c>
      <c r="M194" s="24">
        <f t="shared" si="37"/>
        <v>24539.582264250563</v>
      </c>
      <c r="N194" s="24">
        <f t="shared" si="37"/>
        <v>24718.05931190322</v>
      </c>
      <c r="O194" s="24">
        <f t="shared" si="37"/>
        <v>24947.571729346866</v>
      </c>
      <c r="P194" s="24">
        <f t="shared" si="37"/>
        <v>25184.209805315728</v>
      </c>
      <c r="Q194" s="24">
        <f t="shared" si="37"/>
        <v>25473.237159410251</v>
      </c>
    </row>
    <row r="195" spans="1:17" x14ac:dyDescent="0.2">
      <c r="A195" s="9" t="s">
        <v>14</v>
      </c>
      <c r="B195"/>
      <c r="C195" s="24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1:17" x14ac:dyDescent="0.2">
      <c r="A196" s="23" t="s">
        <v>45</v>
      </c>
      <c r="B196" s="24">
        <f>'Input Property 3'!$K$13</f>
        <v>1810</v>
      </c>
      <c r="C196" s="24">
        <f>'Data Property 3'!B196/5</f>
        <v>362</v>
      </c>
      <c r="D196" s="24">
        <f>C196</f>
        <v>362</v>
      </c>
      <c r="E196" s="24">
        <f>D196</f>
        <v>362</v>
      </c>
      <c r="F196" s="24">
        <f>E196</f>
        <v>362</v>
      </c>
      <c r="G196" s="24">
        <f>F196</f>
        <v>362</v>
      </c>
      <c r="H196"/>
      <c r="I196"/>
      <c r="J196"/>
      <c r="K196"/>
      <c r="L196"/>
      <c r="M196"/>
      <c r="N196"/>
      <c r="O196"/>
      <c r="P196"/>
      <c r="Q196"/>
    </row>
    <row r="197" spans="1:17" x14ac:dyDescent="0.2">
      <c r="A197" s="22" t="s">
        <v>15</v>
      </c>
      <c r="B197" s="10">
        <f>'Tax Table'!$C$3</f>
        <v>2.5000000000000001E-2</v>
      </c>
      <c r="C197" s="24">
        <f>IF(C162=0,0,'Input Property 3'!B61)</f>
        <v>2625</v>
      </c>
      <c r="D197" s="24">
        <f>IF(D162=0,0,'Input Property 3'!C61)</f>
        <v>2625</v>
      </c>
      <c r="E197" s="24">
        <f>IF(E162=0,0,'Input Property 3'!D61)</f>
        <v>2625</v>
      </c>
      <c r="F197" s="24">
        <f>IF(F162=0,0,'Input Property 3'!E61)</f>
        <v>2625</v>
      </c>
      <c r="G197" s="24">
        <f>IF(G162=0,0,'Input Property 3'!F61)</f>
        <v>2625</v>
      </c>
      <c r="H197" s="24">
        <f>IF(H162=0,0,'Input Property 3'!G61)</f>
        <v>2625</v>
      </c>
      <c r="I197" s="24">
        <f>IF(I162=0,0,'Input Property 3'!H61)</f>
        <v>2625</v>
      </c>
      <c r="J197" s="24">
        <f>IF(J162=0,0,'Input Property 3'!I61)</f>
        <v>2625</v>
      </c>
      <c r="K197" s="24">
        <f>IF(K162=0,0,'Input Property 3'!J61)</f>
        <v>2625</v>
      </c>
      <c r="L197" s="24">
        <f>IF(L162=0,0,'Input Property 3'!K61)</f>
        <v>2625</v>
      </c>
      <c r="M197" s="24">
        <f>IF(M162=0,0,'Input Property 3'!L61)</f>
        <v>2625</v>
      </c>
      <c r="N197" s="24">
        <f>IF(N162=0,0,'Input Property 3'!M61)</f>
        <v>2625</v>
      </c>
      <c r="O197" s="24">
        <f>IF(O162=0,0,'Input Property 3'!N61)</f>
        <v>2625</v>
      </c>
      <c r="P197" s="24">
        <f>IF(P162=0,0,'Input Property 3'!O61)</f>
        <v>2625</v>
      </c>
      <c r="Q197" s="24">
        <f>IF(Q162=0,0,'Input Property 3'!P61)</f>
        <v>2625</v>
      </c>
    </row>
    <row r="198" spans="1:17" x14ac:dyDescent="0.2">
      <c r="A198" s="22" t="s">
        <v>114</v>
      </c>
      <c r="B198" s="27">
        <f>'Input Property 3'!$B$35</f>
        <v>5000</v>
      </c>
      <c r="C198" s="24">
        <f>IF(C162=0,0,IF('Input Property 3'!B62&gt;0,'Input Property 3'!B62,IF('Input Property 3'!$B$62=0,'Data Property 3'!B199*0.3,'Input Property 3'!B62)))</f>
        <v>1500</v>
      </c>
      <c r="D198" s="24">
        <f>IF(D162=0,0,IF('Input Property 3'!C62&gt;0,'Input Property 3'!C62,IF('Input Property 3'!$B$62=0,C199*0.3,'Input Property 3'!C62)))</f>
        <v>1050</v>
      </c>
      <c r="E198" s="24">
        <f>IF(E162=0,0,IF('Input Property 3'!D62&gt;0,'Input Property 3'!D62,IF('Input Property 3'!$B$62=0,D199*0.3,'Input Property 3'!D62)))</f>
        <v>735</v>
      </c>
      <c r="F198" s="24">
        <f>IF(F162=0,0,IF('Input Property 3'!E62&gt;0,'Input Property 3'!E62,IF('Input Property 3'!$B$62=0,E199*0.3,'Input Property 3'!E62)))</f>
        <v>514.5</v>
      </c>
      <c r="G198" s="24">
        <f>IF(G162=0,0,IF('Input Property 3'!F62&gt;0,'Input Property 3'!F62,IF('Input Property 3'!$B$62=0,F199*0.3,'Input Property 3'!F62)))</f>
        <v>360.15</v>
      </c>
      <c r="H198" s="24">
        <f>IF(H162=0,0,IF('Input Property 3'!G62&gt;0,'Input Property 3'!G62,IF('Input Property 3'!$B$62=0,G199*0.3,'Input Property 3'!G62)))</f>
        <v>252.10499999999999</v>
      </c>
      <c r="I198" s="24">
        <f>IF(I162=0,0,IF('Input Property 3'!H62&gt;0,'Input Property 3'!H62,IF('Input Property 3'!$B$62=0,H199*0.3,'Input Property 3'!H62)))</f>
        <v>176.4735</v>
      </c>
      <c r="J198" s="24">
        <f>IF(J162=0,0,IF('Input Property 3'!I62&gt;0,'Input Property 3'!I62,IF('Input Property 3'!$B$62=0,I199*0.3,'Input Property 3'!I62)))</f>
        <v>123.53144999999999</v>
      </c>
      <c r="K198" s="24">
        <f>IF(K162=0,0,IF('Input Property 3'!J62&gt;0,'Input Property 3'!J62,IF('Input Property 3'!$B$62=0,J199*0.3,'Input Property 3'!J62)))</f>
        <v>86.472014999999999</v>
      </c>
      <c r="L198" s="24">
        <f>IF(L162=0,0,IF('Input Property 3'!K62&gt;0,'Input Property 3'!K62,IF('Input Property 3'!$B$62=0,K199*0.3,'Input Property 3'!K62)))</f>
        <v>60.530410499999995</v>
      </c>
      <c r="M198" s="24">
        <f>IF(M162=0,0,IF('Input Property 3'!L62&gt;0,'Input Property 3'!L62,IF('Input Property 3'!$B$62=0,L199*0.3,'Input Property 3'!L62)))</f>
        <v>42.371287350000003</v>
      </c>
      <c r="N198" s="24">
        <f>IF(N162=0,0,IF('Input Property 3'!M62&gt;0,'Input Property 3'!M62,IF('Input Property 3'!$B$62=0,M199*0.3,'Input Property 3'!M62)))</f>
        <v>29.659901144999999</v>
      </c>
      <c r="O198" s="24">
        <f>IF(O162=0,0,IF('Input Property 3'!N62&gt;0,'Input Property 3'!N62,IF('Input Property 3'!$B$62=0,N199*0.3,'Input Property 3'!N62)))</f>
        <v>20.7619308015</v>
      </c>
      <c r="P198" s="24">
        <f>IF(P162=0,0,IF('Input Property 3'!O62&gt;0,'Input Property 3'!O62,IF('Input Property 3'!$B$62=0,O199*0.3,'Input Property 3'!O62)))</f>
        <v>14.533351561049999</v>
      </c>
      <c r="Q198" s="24">
        <f>IF(Q162=0,0,IF('Input Property 3'!P62&gt;0,'Input Property 3'!P62,IF('Input Property 3'!$B$62=0,P199*0.3,'Input Property 3'!P62)))</f>
        <v>10.173346092735001</v>
      </c>
    </row>
    <row r="199" spans="1:17" x14ac:dyDescent="0.2">
      <c r="A199" s="22"/>
      <c r="B199" s="27">
        <f>B198</f>
        <v>5000</v>
      </c>
      <c r="C199" s="24">
        <f>'Data Property 3'!B199-C198</f>
        <v>3500</v>
      </c>
      <c r="D199" s="24">
        <f t="shared" ref="D199:Q199" si="38">C199-D198</f>
        <v>2450</v>
      </c>
      <c r="E199" s="24">
        <f t="shared" si="38"/>
        <v>1715</v>
      </c>
      <c r="F199" s="24">
        <f t="shared" si="38"/>
        <v>1200.5</v>
      </c>
      <c r="G199" s="24">
        <f t="shared" si="38"/>
        <v>840.35</v>
      </c>
      <c r="H199" s="24">
        <f t="shared" si="38"/>
        <v>588.245</v>
      </c>
      <c r="I199" s="24">
        <f t="shared" si="38"/>
        <v>411.7715</v>
      </c>
      <c r="J199" s="24">
        <f t="shared" si="38"/>
        <v>288.24005</v>
      </c>
      <c r="K199" s="24">
        <f t="shared" si="38"/>
        <v>201.768035</v>
      </c>
      <c r="L199" s="24">
        <f t="shared" si="38"/>
        <v>141.23762450000001</v>
      </c>
      <c r="M199" s="24">
        <f t="shared" si="38"/>
        <v>98.866337150000007</v>
      </c>
      <c r="N199" s="24">
        <f t="shared" si="38"/>
        <v>69.206436005</v>
      </c>
      <c r="O199" s="24">
        <f t="shared" si="38"/>
        <v>48.4445052035</v>
      </c>
      <c r="P199" s="24">
        <f t="shared" si="38"/>
        <v>33.911153642450003</v>
      </c>
      <c r="Q199" s="24">
        <f t="shared" si="38"/>
        <v>23.737807549715001</v>
      </c>
    </row>
    <row r="200" spans="1:17" x14ac:dyDescent="0.2">
      <c r="A200" s="28" t="s">
        <v>48</v>
      </c>
      <c r="B200" s="27"/>
      <c r="C200" s="24">
        <f t="shared" ref="C200:Q200" si="39">SUM(C196:C198)</f>
        <v>4487</v>
      </c>
      <c r="D200" s="24">
        <f t="shared" si="39"/>
        <v>4037</v>
      </c>
      <c r="E200" s="24">
        <f t="shared" si="39"/>
        <v>3722</v>
      </c>
      <c r="F200" s="24">
        <f t="shared" si="39"/>
        <v>3501.5</v>
      </c>
      <c r="G200" s="24">
        <f t="shared" si="39"/>
        <v>3347.15</v>
      </c>
      <c r="H200" s="24">
        <f t="shared" si="39"/>
        <v>2877.105</v>
      </c>
      <c r="I200" s="24">
        <f t="shared" si="39"/>
        <v>2801.4735000000001</v>
      </c>
      <c r="J200" s="24">
        <f t="shared" si="39"/>
        <v>2748.5314499999999</v>
      </c>
      <c r="K200" s="24">
        <f t="shared" si="39"/>
        <v>2711.4720149999998</v>
      </c>
      <c r="L200" s="24">
        <f t="shared" si="39"/>
        <v>2685.5304105</v>
      </c>
      <c r="M200" s="24">
        <f t="shared" si="39"/>
        <v>2667.3712873499999</v>
      </c>
      <c r="N200" s="24">
        <f t="shared" si="39"/>
        <v>2654.6599011449998</v>
      </c>
      <c r="O200" s="24">
        <f t="shared" si="39"/>
        <v>2645.7619308015001</v>
      </c>
      <c r="P200" s="24">
        <f t="shared" si="39"/>
        <v>2639.53335156105</v>
      </c>
      <c r="Q200" s="24">
        <f t="shared" si="39"/>
        <v>2635.1733460927348</v>
      </c>
    </row>
    <row r="201" spans="1:17" x14ac:dyDescent="0.2">
      <c r="A201" s="37" t="s">
        <v>40</v>
      </c>
      <c r="B201" s="20"/>
      <c r="C201" s="24">
        <f t="shared" ref="C201:Q201" si="40">C194+C200</f>
        <v>16961.225044874824</v>
      </c>
      <c r="D201" s="24">
        <f t="shared" si="40"/>
        <v>26805.89460172414</v>
      </c>
      <c r="E201" s="24">
        <f t="shared" si="40"/>
        <v>26703.069053887841</v>
      </c>
      <c r="F201" s="24">
        <f t="shared" si="40"/>
        <v>26614.518727158189</v>
      </c>
      <c r="G201" s="24">
        <f t="shared" si="40"/>
        <v>26640.172397836057</v>
      </c>
      <c r="H201" s="24">
        <f t="shared" si="40"/>
        <v>26355.653081816254</v>
      </c>
      <c r="I201" s="24">
        <f t="shared" si="40"/>
        <v>26514.611782902903</v>
      </c>
      <c r="J201" s="24">
        <f t="shared" si="40"/>
        <v>26615.414562747879</v>
      </c>
      <c r="K201" s="24">
        <f t="shared" si="40"/>
        <v>26781.538501836309</v>
      </c>
      <c r="L201" s="24">
        <f t="shared" si="40"/>
        <v>26965.050767969395</v>
      </c>
      <c r="M201" s="24">
        <f t="shared" si="40"/>
        <v>27206.953551600564</v>
      </c>
      <c r="N201" s="24">
        <f t="shared" si="40"/>
        <v>27372.719213048222</v>
      </c>
      <c r="O201" s="24">
        <f t="shared" si="40"/>
        <v>27593.333660148368</v>
      </c>
      <c r="P201" s="24">
        <f t="shared" si="40"/>
        <v>27823.743156876779</v>
      </c>
      <c r="Q201" s="24">
        <f t="shared" si="40"/>
        <v>28108.410505502987</v>
      </c>
    </row>
    <row r="202" spans="1:17" x14ac:dyDescent="0.2">
      <c r="A202" s="37" t="s">
        <v>115</v>
      </c>
      <c r="B202" s="20"/>
      <c r="C202" s="24">
        <f t="shared" ref="C202:Q202" si="41">C165-C201</f>
        <v>-8504.0821877319668</v>
      </c>
      <c r="D202" s="24">
        <f t="shared" si="41"/>
        <v>-7529.4760302955692</v>
      </c>
      <c r="E202" s="24">
        <f t="shared" si="41"/>
        <v>-6617.8097624592738</v>
      </c>
      <c r="F202" s="24">
        <f t="shared" si="41"/>
        <v>-5805.2200745110495</v>
      </c>
      <c r="G202" s="24">
        <f t="shared" si="41"/>
        <v>-5019.311097735681</v>
      </c>
      <c r="H202" s="24">
        <f t="shared" si="41"/>
        <v>-3891.5781910119658</v>
      </c>
      <c r="I202" s="24">
        <f t="shared" si="41"/>
        <v>-3107.9417496719361</v>
      </c>
      <c r="J202" s="24">
        <f t="shared" si="41"/>
        <v>-2364.9739725519466</v>
      </c>
      <c r="K202" s="24">
        <f t="shared" si="41"/>
        <v>-1585.3307286227391</v>
      </c>
      <c r="L202" s="24">
        <f t="shared" si="41"/>
        <v>-786.19089160049771</v>
      </c>
      <c r="M202" s="24">
        <f t="shared" si="41"/>
        <v>70.374268526626111</v>
      </c>
      <c r="N202" s="24">
        <f t="shared" si="41"/>
        <v>887.90977954940536</v>
      </c>
      <c r="O202" s="24">
        <f t="shared" si="41"/>
        <v>1769.4598631605659</v>
      </c>
      <c r="P202" s="24">
        <f t="shared" si="41"/>
        <v>2684.1993138411999</v>
      </c>
      <c r="Q202" s="24">
        <f t="shared" si="41"/>
        <v>3679.6487079749168</v>
      </c>
    </row>
    <row r="203" spans="1:17" x14ac:dyDescent="0.2">
      <c r="A203" s="21" t="s">
        <v>42</v>
      </c>
      <c r="B203" s="20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</row>
    <row r="204" spans="1:17" x14ac:dyDescent="0.2">
      <c r="A204" s="37" t="s">
        <v>78</v>
      </c>
      <c r="B204" s="20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</row>
    <row r="205" spans="1:17" x14ac:dyDescent="0.2">
      <c r="A205" s="26" t="s">
        <v>79</v>
      </c>
      <c r="B205" s="15">
        <f>'Input Property 3'!B26</f>
        <v>0.8</v>
      </c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</row>
    <row r="206" spans="1:17" x14ac:dyDescent="0.2">
      <c r="A206" s="38" t="s">
        <v>74</v>
      </c>
      <c r="B206"/>
      <c r="C206" s="24">
        <f>'Input Property 3'!B46</f>
        <v>123000</v>
      </c>
      <c r="D206" s="24">
        <f>'Input Property 3'!C46</f>
        <v>125460</v>
      </c>
      <c r="E206" s="24">
        <f>'Input Property 3'!D46</f>
        <v>127969.2</v>
      </c>
      <c r="F206" s="24">
        <f>'Input Property 3'!E46</f>
        <v>130528.584</v>
      </c>
      <c r="G206" s="24">
        <f>'Input Property 3'!F46</f>
        <v>133139.15568</v>
      </c>
      <c r="H206" s="24">
        <f>'Input Property 3'!G46</f>
        <v>135801.93879360001</v>
      </c>
      <c r="I206" s="24">
        <f>'Input Property 3'!H46</f>
        <v>138517.97756947202</v>
      </c>
      <c r="J206" s="24">
        <f>'Input Property 3'!I46</f>
        <v>141288.33712086146</v>
      </c>
      <c r="K206" s="24">
        <f>'Input Property 3'!J46</f>
        <v>144114.10386327869</v>
      </c>
      <c r="L206" s="24">
        <f>'Input Property 3'!K46</f>
        <v>146996.38594054428</v>
      </c>
      <c r="M206" s="24">
        <f>'Input Property 3'!L46</f>
        <v>149936.31365935516</v>
      </c>
      <c r="N206" s="24">
        <f>'Input Property 3'!M46</f>
        <v>152935.03993254228</v>
      </c>
      <c r="O206" s="24">
        <f>'Input Property 3'!N46</f>
        <v>155993.74073119313</v>
      </c>
      <c r="P206" s="24">
        <f>'Input Property 3'!O46</f>
        <v>159113.61554581701</v>
      </c>
      <c r="Q206" s="24">
        <f>'Input Property 3'!P46</f>
        <v>162295.88785673334</v>
      </c>
    </row>
    <row r="207" spans="1:17" x14ac:dyDescent="0.2">
      <c r="A207" s="38" t="s">
        <v>76</v>
      </c>
      <c r="B207"/>
      <c r="C207" s="24">
        <f>'Tax Table'!G12</f>
        <v>33456.114999999998</v>
      </c>
      <c r="D207" s="63">
        <f>'Tax Table'!G23</f>
        <v>34366.315000000002</v>
      </c>
      <c r="E207" s="63">
        <f>'Tax Table'!G33</f>
        <v>35294.718999999997</v>
      </c>
      <c r="F207" s="63">
        <f>'Tax Table'!G43</f>
        <v>36241.691080000004</v>
      </c>
      <c r="G207" s="24">
        <f>'Tax Table'!G53</f>
        <v>37207.602601599996</v>
      </c>
      <c r="H207" s="24">
        <f>'Tax Table'!G63</f>
        <v>38192.832353632009</v>
      </c>
      <c r="I207" s="24">
        <f>'Tax Table'!G73</f>
        <v>39197.766700704648</v>
      </c>
      <c r="J207" s="24">
        <f>'Tax Table'!G83</f>
        <v>40222.799734718734</v>
      </c>
      <c r="K207" s="24">
        <f>'Tax Table'!G93</f>
        <v>41268.33342941312</v>
      </c>
      <c r="L207" s="24">
        <f>'Tax Table'!G103</f>
        <v>42334.777798001378</v>
      </c>
      <c r="M207" s="24">
        <f>'Tax Table'!G113</f>
        <v>43422.551053961412</v>
      </c>
      <c r="N207" s="24">
        <f>'Tax Table'!G123</f>
        <v>44532.079775040642</v>
      </c>
      <c r="O207" s="24">
        <f>'Tax Table'!G133</f>
        <v>45663.799070541456</v>
      </c>
      <c r="P207" s="24">
        <f>'Tax Table'!G143</f>
        <v>46818.152751952293</v>
      </c>
      <c r="Q207" s="24">
        <f>'Tax Table'!G153</f>
        <v>47995.593506991339</v>
      </c>
    </row>
    <row r="208" spans="1:17" x14ac:dyDescent="0.2">
      <c r="A208" s="26" t="s">
        <v>41</v>
      </c>
      <c r="B208" s="20"/>
      <c r="C208" s="24">
        <f>C202*'Data Property 3'!$B$205</f>
        <v>-6803.2657501855738</v>
      </c>
      <c r="D208" s="24">
        <f>D202*'Data Property 3'!$B$205</f>
        <v>-6023.5808242364556</v>
      </c>
      <c r="E208" s="24">
        <f>E202*'Data Property 3'!$B$205</f>
        <v>-5294.247809967419</v>
      </c>
      <c r="F208" s="24">
        <f>F202*'Data Property 3'!$B$205</f>
        <v>-4644.1760596088398</v>
      </c>
      <c r="G208" s="24">
        <f>G202*'Data Property 3'!$B$205</f>
        <v>-4015.4488781885448</v>
      </c>
      <c r="H208" s="24">
        <f>H202*'Data Property 3'!$B$205</f>
        <v>-3113.2625528095728</v>
      </c>
      <c r="I208" s="24">
        <f>I202*'Data Property 3'!$B$205</f>
        <v>-2486.3533997375489</v>
      </c>
      <c r="J208" s="24">
        <f>J202*'Data Property 3'!$B$205</f>
        <v>-1891.9791780415574</v>
      </c>
      <c r="K208" s="24">
        <f>K202*'Data Property 3'!$B$205</f>
        <v>-1268.2645828981913</v>
      </c>
      <c r="L208" s="24">
        <f>L202*'Data Property 3'!$B$205</f>
        <v>-628.95271328039826</v>
      </c>
      <c r="M208" s="24">
        <f>M202*'Data Property 3'!$B$205</f>
        <v>56.299414821300893</v>
      </c>
      <c r="N208" s="24">
        <f>N202*'Data Property 3'!$B$205</f>
        <v>710.32782363952435</v>
      </c>
      <c r="O208" s="24">
        <f>O202*'Data Property 3'!$B$205</f>
        <v>1415.5678905284528</v>
      </c>
      <c r="P208" s="24">
        <f>P202*'Data Property 3'!$B$205</f>
        <v>2147.3594510729599</v>
      </c>
      <c r="Q208" s="24">
        <f>Q202*'Data Property 3'!$B$205</f>
        <v>2943.7189663799336</v>
      </c>
    </row>
    <row r="209" spans="1:17" x14ac:dyDescent="0.2">
      <c r="A209" s="38" t="s">
        <v>75</v>
      </c>
      <c r="B209"/>
      <c r="C209" s="24">
        <f>IF(C161&lt;'Input Property 3'!$B$33,C206+C208,C206+C208+C236)</f>
        <v>116196.73424981443</v>
      </c>
      <c r="D209" s="24">
        <f>IF(C161&lt;'Input Property 3'!$B$33,IF(D161&lt;'Input Property 3'!$B$33,D206+D208,D206+D208+D236),D206)</f>
        <v>119436.41917576354</v>
      </c>
      <c r="E209" s="24">
        <f>IF(D161&lt;'Input Property 3'!$B$33,IF(E161&lt;'Input Property 3'!$B$33,E206+E208,E206+E208+E236),E206)</f>
        <v>122674.95219003258</v>
      </c>
      <c r="F209" s="24">
        <f>IF(E161&lt;'Input Property 3'!$B$33,IF(F161&lt;'Input Property 3'!$B$33,F206+F208,F206+F208+F236),F206)</f>
        <v>125884.40794039116</v>
      </c>
      <c r="G209" s="24">
        <f>IF(F161&lt;'Input Property 3'!$B$33,IF(G161&lt;'Input Property 3'!$B$33,G206+G208,G206+G208+G236),G206)</f>
        <v>129123.70680181145</v>
      </c>
      <c r="H209" s="24">
        <f>IF(G161&lt;'Input Property 3'!$B$33,IF(H161&lt;'Input Property 3'!$B$33,H206+H208,H206+H208+H236),H206)</f>
        <v>132688.67624079043</v>
      </c>
      <c r="I209" s="24">
        <f>IF(H161&lt;'Input Property 3'!$B$33,IF(I161&lt;'Input Property 3'!$B$33,I206+I208,I206+I208+I236),I206)</f>
        <v>136031.62416973448</v>
      </c>
      <c r="J209" s="24">
        <f>IF(I161&lt;'Input Property 3'!$B$33,IF(J161&lt;'Input Property 3'!$B$33,J206+J208,J206+J208+J236),J206)</f>
        <v>139396.35794281989</v>
      </c>
      <c r="K209" s="24">
        <f>IF(J161&lt;'Input Property 3'!$B$33,IF(K161&lt;'Input Property 3'!$B$33,K206+K208,K206+K208+K236),K206)</f>
        <v>142845.83928038052</v>
      </c>
      <c r="L209" s="24">
        <f>IF(K161&lt;'Input Property 3'!$B$33,IF(L161&lt;'Input Property 3'!$B$33,L206+L208,L206+L208+L236),L206)</f>
        <v>146367.43322726389</v>
      </c>
      <c r="M209" s="24">
        <f>IF(L161&lt;'Input Property 3'!$B$33,IF(M161&lt;'Input Property 3'!$B$33,M206+M208,M206+M208+M236),M206)</f>
        <v>149992.61307417645</v>
      </c>
      <c r="N209" s="24">
        <f>IF(M161&lt;'Input Property 3'!$B$33,IF(N161&lt;'Input Property 3'!$B$33,N206+N208,N206+N208+N236),N206)</f>
        <v>153645.3677561818</v>
      </c>
      <c r="O209" s="24">
        <f>IF(N161&lt;'Input Property 3'!$B$33,IF(O161&lt;'Input Property 3'!$B$33,O206+O208,O206+O208+O236),O206)</f>
        <v>157409.30862172158</v>
      </c>
      <c r="P209" s="24">
        <f>IF(O161&lt;'Input Property 3'!$B$33,IF(P161&lt;'Input Property 3'!$B$33,P206+P208,P206+P208+P236),P206)</f>
        <v>161260.97499688997</v>
      </c>
      <c r="Q209" s="24">
        <f>IF(P161&lt;'Input Property 3'!$B$33,IF(Q161&lt;'Input Property 3'!$B$33,Q206+Q208,Q206+Q208+Q236),Q206)</f>
        <v>165239.60682311328</v>
      </c>
    </row>
    <row r="210" spans="1:17" x14ac:dyDescent="0.2">
      <c r="A210" s="38" t="s">
        <v>77</v>
      </c>
      <c r="B210"/>
      <c r="C210" s="24">
        <f>'Tax Table'!H12</f>
        <v>32352.368616183954</v>
      </c>
      <c r="D210" s="63">
        <f>'Tax Table'!H23</f>
        <v>33130.679630721621</v>
      </c>
      <c r="E210" s="24">
        <f>'Tax Table'!H33</f>
        <v>34196.449798365175</v>
      </c>
      <c r="F210" s="24">
        <f>'Tax Table'!H43</f>
        <v>35267.893639862647</v>
      </c>
      <c r="G210" s="24">
        <f>'Tax Table'!H53</f>
        <v>36349.175663226393</v>
      </c>
      <c r="H210" s="24">
        <f>'Tax Table'!H63</f>
        <v>37514.23194346972</v>
      </c>
      <c r="I210" s="24">
        <f>'Tax Table'!H73</f>
        <v>38623.79492318078</v>
      </c>
      <c r="J210" s="24">
        <f>'Tax Table'!H83</f>
        <v>39755.554043107128</v>
      </c>
      <c r="K210" s="24">
        <f>'Tax Table'!H93</f>
        <v>40908.497432896009</v>
      </c>
      <c r="L210" s="24">
        <f>'Tax Table'!H103</f>
        <v>42088.271204551362</v>
      </c>
      <c r="M210" s="24">
        <f>'Tax Table'!H113</f>
        <v>43283.381543895208</v>
      </c>
      <c r="N210" s="24">
        <f>'Tax Table'!H123</f>
        <v>44507.495533255453</v>
      </c>
      <c r="O210" s="24">
        <f>'Tax Table'!H133</f>
        <v>45757.275875182058</v>
      </c>
      <c r="P210" s="24">
        <f>'Tax Table'!H143</f>
        <v>47039.383585117554</v>
      </c>
      <c r="Q210" s="24">
        <f>'Tax Table'!H153</f>
        <v>48337.019010134041</v>
      </c>
    </row>
    <row r="211" spans="1:17" x14ac:dyDescent="0.2">
      <c r="A211" s="26" t="s">
        <v>71</v>
      </c>
      <c r="B211" s="20"/>
      <c r="C211" s="24">
        <f t="shared" ref="C211:Q211" si="42">C207-C210</f>
        <v>1103.7463838160438</v>
      </c>
      <c r="D211" s="24">
        <f t="shared" si="42"/>
        <v>1235.6353692783814</v>
      </c>
      <c r="E211" s="24">
        <f t="shared" si="42"/>
        <v>1098.2692016348228</v>
      </c>
      <c r="F211" s="24">
        <f t="shared" si="42"/>
        <v>973.79744013735763</v>
      </c>
      <c r="G211" s="24">
        <f t="shared" si="42"/>
        <v>858.42693837360275</v>
      </c>
      <c r="H211" s="24">
        <f t="shared" si="42"/>
        <v>678.60041016228934</v>
      </c>
      <c r="I211" s="24">
        <f t="shared" si="42"/>
        <v>573.97177752386779</v>
      </c>
      <c r="J211" s="24">
        <f t="shared" si="42"/>
        <v>467.24569161160616</v>
      </c>
      <c r="K211" s="24">
        <f t="shared" si="42"/>
        <v>359.8359965171112</v>
      </c>
      <c r="L211" s="24">
        <f t="shared" si="42"/>
        <v>246.50659345001623</v>
      </c>
      <c r="M211" s="24">
        <f t="shared" si="42"/>
        <v>139.16951006620366</v>
      </c>
      <c r="N211" s="24">
        <f t="shared" si="42"/>
        <v>24.584241785189079</v>
      </c>
      <c r="O211" s="24">
        <f t="shared" si="42"/>
        <v>-93.476804640602495</v>
      </c>
      <c r="P211" s="24">
        <f t="shared" si="42"/>
        <v>-221.23083316526026</v>
      </c>
      <c r="Q211" s="24">
        <f t="shared" si="42"/>
        <v>-341.42550314270193</v>
      </c>
    </row>
    <row r="212" spans="1:17" x14ac:dyDescent="0.2">
      <c r="A212" s="26" t="s">
        <v>166</v>
      </c>
      <c r="B212" s="20"/>
      <c r="C212" s="24">
        <f>C211/(C162/7)</f>
        <v>44.403590153519005</v>
      </c>
      <c r="D212" s="24">
        <f>D211/'Input Property 3'!$B$64</f>
        <v>23.648523813940315</v>
      </c>
      <c r="E212" s="24">
        <f>E211/'Input Property 3'!$B$64</f>
        <v>21.019506251384168</v>
      </c>
      <c r="F212" s="24">
        <f>F211/'Input Property 3'!$B$64</f>
        <v>18.637271581576222</v>
      </c>
      <c r="G212" s="24">
        <f>G211/'Input Property 3'!$B$64</f>
        <v>16.429223700930198</v>
      </c>
      <c r="H212" s="24">
        <f>H211/'Input Property 3'!$B$64</f>
        <v>12.987567658608409</v>
      </c>
      <c r="I212" s="24">
        <f>I211/'Input Property 3'!$B$64</f>
        <v>10.985105789930484</v>
      </c>
      <c r="J212" s="24">
        <f>J211/'Input Property 3'!$B$64</f>
        <v>8.9425012748632753</v>
      </c>
      <c r="K212" s="24">
        <f>K211/'Input Property 3'!$B$64</f>
        <v>6.8868133304710275</v>
      </c>
      <c r="L212" s="24">
        <f>L211/'Input Property 3'!$B$64</f>
        <v>4.7178295397132288</v>
      </c>
      <c r="M212" s="24">
        <f>M211/'Input Property 3'!$B$64</f>
        <v>2.6635312931330843</v>
      </c>
      <c r="N212" s="24">
        <f>N211/'Input Property 3'!$B$64</f>
        <v>0.47051180450122637</v>
      </c>
      <c r="O212" s="24">
        <f>O211/'Input Property 3'!$B$64</f>
        <v>-1.7890297538871291</v>
      </c>
      <c r="P212" s="24">
        <f>P211/'Input Property 3'!$B$64</f>
        <v>-4.2340829313925408</v>
      </c>
      <c r="Q212" s="24">
        <f>Q211/'Input Property 3'!$B$64</f>
        <v>-6.5344593902909462</v>
      </c>
    </row>
    <row r="213" spans="1:17" x14ac:dyDescent="0.2">
      <c r="A213" s="37" t="s">
        <v>80</v>
      </c>
      <c r="B213" s="20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</row>
    <row r="214" spans="1:17" x14ac:dyDescent="0.2">
      <c r="A214" s="26" t="s">
        <v>81</v>
      </c>
      <c r="B214" s="15">
        <f>1-B205</f>
        <v>0.19999999999999996</v>
      </c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</row>
    <row r="215" spans="1:17" x14ac:dyDescent="0.2">
      <c r="A215" s="38" t="s">
        <v>74</v>
      </c>
      <c r="B215"/>
      <c r="C215" s="24">
        <f>'Input Property 3'!B48</f>
        <v>96000</v>
      </c>
      <c r="D215" s="24">
        <f>'Input Property 3'!C48</f>
        <v>97920</v>
      </c>
      <c r="E215" s="24">
        <f>'Input Property 3'!D48</f>
        <v>99878.400000000009</v>
      </c>
      <c r="F215" s="24">
        <f>'Input Property 3'!E48</f>
        <v>101875.96800000001</v>
      </c>
      <c r="G215" s="24">
        <f>'Input Property 3'!F48</f>
        <v>103913.48736000001</v>
      </c>
      <c r="H215" s="24">
        <f>'Input Property 3'!G48</f>
        <v>105991.75710720001</v>
      </c>
      <c r="I215" s="24">
        <f>'Input Property 3'!H48</f>
        <v>108111.59224934402</v>
      </c>
      <c r="J215" s="24">
        <f>'Input Property 3'!I48</f>
        <v>110273.82409433089</v>
      </c>
      <c r="K215" s="24">
        <f>'Input Property 3'!J48</f>
        <v>112479.30057621752</v>
      </c>
      <c r="L215" s="24">
        <f>'Input Property 3'!K48</f>
        <v>114728.88658774187</v>
      </c>
      <c r="M215" s="24">
        <f>'Input Property 3'!L48</f>
        <v>117023.46431949671</v>
      </c>
      <c r="N215" s="24">
        <f>'Input Property 3'!M48</f>
        <v>119363.93360588665</v>
      </c>
      <c r="O215" s="24">
        <f>'Input Property 3'!N48</f>
        <v>121751.21227800439</v>
      </c>
      <c r="P215" s="24">
        <f>'Input Property 3'!O48</f>
        <v>124186.23652356448</v>
      </c>
      <c r="Q215" s="24">
        <f>'Input Property 3'!P48</f>
        <v>126669.96125403578</v>
      </c>
    </row>
    <row r="216" spans="1:17" x14ac:dyDescent="0.2">
      <c r="A216" s="38" t="s">
        <v>76</v>
      </c>
      <c r="B216"/>
      <c r="C216" s="24">
        <f>'Tax Table'!I12</f>
        <v>23466.115000000002</v>
      </c>
      <c r="D216" s="63">
        <f>'Tax Table'!I23</f>
        <v>24176.514999999999</v>
      </c>
      <c r="E216" s="24">
        <f>'Tax Table'!I33</f>
        <v>24901.123000000003</v>
      </c>
      <c r="F216" s="24">
        <f>'Tax Table'!I43</f>
        <v>25640.223160000001</v>
      </c>
      <c r="G216" s="24">
        <f>'Tax Table'!I53</f>
        <v>26394.105323200005</v>
      </c>
      <c r="H216" s="24">
        <f>'Tax Table'!I63</f>
        <v>27163.065129664006</v>
      </c>
      <c r="I216" s="24">
        <f>'Tax Table'!I73</f>
        <v>27947.404132257288</v>
      </c>
      <c r="J216" s="24">
        <f>'Tax Table'!I83</f>
        <v>28747.42991490243</v>
      </c>
      <c r="K216" s="24">
        <f>'Tax Table'!I93</f>
        <v>29563.456213200479</v>
      </c>
      <c r="L216" s="24">
        <f>'Tax Table'!I103</f>
        <v>30395.803037464495</v>
      </c>
      <c r="M216" s="24">
        <f>'Tax Table'!I113</f>
        <v>31244.796798213782</v>
      </c>
      <c r="N216" s="24">
        <f>'Tax Table'!I123</f>
        <v>32110.770434178059</v>
      </c>
      <c r="O216" s="24">
        <f>'Tax Table'!I133</f>
        <v>32994.063542861622</v>
      </c>
      <c r="P216" s="24">
        <f>'Tax Table'!I143</f>
        <v>33895.022513718861</v>
      </c>
      <c r="Q216" s="24">
        <f>'Tax Table'!I153</f>
        <v>34814.00066399324</v>
      </c>
    </row>
    <row r="217" spans="1:17" x14ac:dyDescent="0.2">
      <c r="A217" s="26" t="s">
        <v>41</v>
      </c>
      <c r="B217" s="20"/>
      <c r="C217" s="24">
        <f>C202*'Data Property 3'!$B$214</f>
        <v>-1700.816437546393</v>
      </c>
      <c r="D217" s="24">
        <f>D202*'Data Property 3'!$B$214</f>
        <v>-1505.8952060591134</v>
      </c>
      <c r="E217" s="24">
        <f>E202*'Data Property 3'!$B$214</f>
        <v>-1323.5619524918545</v>
      </c>
      <c r="F217" s="24">
        <f>F202*'Data Property 3'!$B$214</f>
        <v>-1161.0440149022097</v>
      </c>
      <c r="G217" s="24">
        <f>G202*'Data Property 3'!$B$214</f>
        <v>-1003.862219547136</v>
      </c>
      <c r="H217" s="24">
        <f>H202*'Data Property 3'!$B$214</f>
        <v>-778.31563820239296</v>
      </c>
      <c r="I217" s="24">
        <f>I202*'Data Property 3'!$B$214</f>
        <v>-621.58834993438711</v>
      </c>
      <c r="J217" s="24">
        <f>J202*'Data Property 3'!$B$214</f>
        <v>-472.99479451038923</v>
      </c>
      <c r="K217" s="24">
        <f>K202*'Data Property 3'!$B$214</f>
        <v>-317.06614572454777</v>
      </c>
      <c r="L217" s="24">
        <f>L202*'Data Property 3'!$B$214</f>
        <v>-157.23817832009951</v>
      </c>
      <c r="M217" s="24">
        <f>M202*'Data Property 3'!$B$214</f>
        <v>14.07485370532522</v>
      </c>
      <c r="N217" s="24">
        <f>N202*'Data Property 3'!$B$214</f>
        <v>177.58195590988103</v>
      </c>
      <c r="O217" s="24">
        <f>O202*'Data Property 3'!$B$214</f>
        <v>353.8919726321131</v>
      </c>
      <c r="P217" s="24">
        <f>P202*'Data Property 3'!$B$214</f>
        <v>536.83986276823987</v>
      </c>
      <c r="Q217" s="24">
        <f>Q202*'Data Property 3'!$B$214</f>
        <v>735.92974159498317</v>
      </c>
    </row>
    <row r="218" spans="1:17" x14ac:dyDescent="0.2">
      <c r="A218" s="38" t="s">
        <v>75</v>
      </c>
      <c r="B218"/>
      <c r="C218" s="24">
        <f>IF(C161&lt;'Input Property 3'!$B$33,C215+C217,IF(C161&gt;'Input Property 3'!$B$33,0,C215+C217+C237))</f>
        <v>94299.183562453603</v>
      </c>
      <c r="D218" s="24">
        <f>IF(C161&lt;'Input Property 3'!$B$33,IF(D161&lt;'Input Property 3'!$B$33,D215+D217,D215+D217+D237),D215)</f>
        <v>96414.104793940889</v>
      </c>
      <c r="E218" s="24">
        <f>IF(D161&lt;'Input Property 3'!$B$33,IF(E161&lt;'Input Property 3'!$B$33,E215+E217,E215+E217+E237),E215)</f>
        <v>98554.83804750815</v>
      </c>
      <c r="F218" s="24">
        <f>IF(E161&lt;'Input Property 3'!$B$33,IF(F161&lt;'Input Property 3'!$B$33,F215+F217,F215+F217+F237),F215)</f>
        <v>100714.9239850978</v>
      </c>
      <c r="G218" s="24">
        <f>IF(F161&lt;'Input Property 3'!$B$33,IF(G161&lt;'Input Property 3'!$B$33,G215+G217,G215+G217+G237),G215)</f>
        <v>102909.62514045287</v>
      </c>
      <c r="H218" s="24">
        <f>IF(G161&lt;'Input Property 3'!$B$33,IF(H161&lt;'Input Property 3'!$B$33,H215+H217,H215+H217+H237),H215)</f>
        <v>105213.44146899763</v>
      </c>
      <c r="I218" s="24">
        <f>IF(H161&lt;'Input Property 3'!$B$33,IF(I161&lt;'Input Property 3'!$B$33,I215+I217,I215+I217+I237),I215)</f>
        <v>107490.00389940962</v>
      </c>
      <c r="J218" s="24">
        <f>IF(I161&lt;'Input Property 3'!$B$33,IF(J161&lt;'Input Property 3'!$B$33,J215+J217,J215+J217+J237),J215)</f>
        <v>109800.8292998205</v>
      </c>
      <c r="K218" s="24">
        <f>IF(J161&lt;'Input Property 3'!$B$33,IF(K161&lt;'Input Property 3'!$B$33,K215+K217,K215+K217+K237),K215)</f>
        <v>112162.23443049297</v>
      </c>
      <c r="L218" s="24">
        <f>IF(K161&lt;'Input Property 3'!$B$33,IF(L161&lt;'Input Property 3'!$B$33,L215+L217,L215+L217+L237),L215)</f>
        <v>114571.64840942177</v>
      </c>
      <c r="M218" s="24">
        <f>IF(L161&lt;'Input Property 3'!$B$33,IF(M161&lt;'Input Property 3'!$B$33,M215+M217,M215+M217+M237),M215)</f>
        <v>117037.53917320204</v>
      </c>
      <c r="N218" s="24">
        <f>IF(M161&lt;'Input Property 3'!$B$33,IF(N161&lt;'Input Property 3'!$B$33,N215+N217,N215+N217+N237),N215)</f>
        <v>119541.51556179652</v>
      </c>
      <c r="O218" s="24">
        <f>IF(N161&lt;'Input Property 3'!$B$33,IF(O161&lt;'Input Property 3'!$B$33,O215+O217,O215+O217+O237),O215)</f>
        <v>122105.1042506365</v>
      </c>
      <c r="P218" s="24">
        <f>IF(O161&lt;'Input Property 3'!$B$33,IF(P161&lt;'Input Property 3'!$B$33,P215+P217,P215+P217+P237),P215)</f>
        <v>124723.07638633272</v>
      </c>
      <c r="Q218" s="24">
        <f>IF(P161&lt;'Input Property 3'!$B$33,IF(Q161&lt;'Input Property 3'!$B$33,Q215+Q217,Q215+Q217+Q237),Q215)</f>
        <v>127405.89099563076</v>
      </c>
    </row>
    <row r="219" spans="1:17" x14ac:dyDescent="0.2">
      <c r="A219" s="38" t="s">
        <v>77</v>
      </c>
      <c r="B219"/>
      <c r="C219" s="24">
        <f>'Tax Table'!J12</f>
        <v>22362.368616183954</v>
      </c>
      <c r="D219" s="63">
        <f>'Tax Table'!J23</f>
        <v>22940.879630721625</v>
      </c>
      <c r="E219" s="24">
        <f>'Tax Table'!J33</f>
        <v>23802.85379836518</v>
      </c>
      <c r="F219" s="24">
        <f>'Tax Table'!J43</f>
        <v>24666.425719862647</v>
      </c>
      <c r="G219" s="24">
        <f>'Tax Table'!J53</f>
        <v>25535.678384826402</v>
      </c>
      <c r="H219" s="24">
        <f>'Tax Table'!J63</f>
        <v>26484.464719501724</v>
      </c>
      <c r="I219" s="24">
        <f>'Tax Table'!J73</f>
        <v>27373.432354733424</v>
      </c>
      <c r="J219" s="24">
        <f>'Tax Table'!J83</f>
        <v>28280.184223290817</v>
      </c>
      <c r="K219" s="24">
        <f>'Tax Table'!J93</f>
        <v>29203.620216683372</v>
      </c>
      <c r="L219" s="24">
        <f>'Tax Table'!J103</f>
        <v>30149.296444014479</v>
      </c>
      <c r="M219" s="24">
        <f>'Tax Table'!J113</f>
        <v>31105.627288147585</v>
      </c>
      <c r="N219" s="24">
        <f>'Tax Table'!J123</f>
        <v>32086.186192392874</v>
      </c>
      <c r="O219" s="24">
        <f>'Tax Table'!J133</f>
        <v>33087.540347502225</v>
      </c>
      <c r="P219" s="24">
        <f>'Tax Table'!J143</f>
        <v>34116.253346884128</v>
      </c>
      <c r="Q219" s="24">
        <f>'Tax Table'!J153</f>
        <v>35155.426167135942</v>
      </c>
    </row>
    <row r="220" spans="1:17" x14ac:dyDescent="0.2">
      <c r="A220" s="26" t="s">
        <v>71</v>
      </c>
      <c r="B220" s="20"/>
      <c r="C220" s="24">
        <f t="shared" ref="C220:Q220" si="43">C216-C219</f>
        <v>1103.7463838160475</v>
      </c>
      <c r="D220" s="24">
        <f t="shared" si="43"/>
        <v>1235.6353692783741</v>
      </c>
      <c r="E220" s="24">
        <f t="shared" si="43"/>
        <v>1098.2692016348228</v>
      </c>
      <c r="F220" s="24">
        <f t="shared" si="43"/>
        <v>973.79744013735399</v>
      </c>
      <c r="G220" s="24">
        <f t="shared" si="43"/>
        <v>858.42693837360275</v>
      </c>
      <c r="H220" s="24">
        <f t="shared" si="43"/>
        <v>678.60041016228206</v>
      </c>
      <c r="I220" s="24">
        <f t="shared" si="43"/>
        <v>573.97177752386415</v>
      </c>
      <c r="J220" s="24">
        <f t="shared" si="43"/>
        <v>467.24569161161344</v>
      </c>
      <c r="K220" s="24">
        <f t="shared" si="43"/>
        <v>359.83599651710756</v>
      </c>
      <c r="L220" s="24">
        <f t="shared" si="43"/>
        <v>246.50659345001623</v>
      </c>
      <c r="M220" s="24">
        <f t="shared" si="43"/>
        <v>139.16951006619638</v>
      </c>
      <c r="N220" s="24">
        <f t="shared" si="43"/>
        <v>24.584241785185441</v>
      </c>
      <c r="O220" s="24">
        <f t="shared" si="43"/>
        <v>-93.476804640602495</v>
      </c>
      <c r="P220" s="24">
        <f t="shared" si="43"/>
        <v>-221.23083316526754</v>
      </c>
      <c r="Q220" s="24">
        <f t="shared" si="43"/>
        <v>-341.42550314270193</v>
      </c>
    </row>
    <row r="221" spans="1:17" x14ac:dyDescent="0.2">
      <c r="A221" s="26" t="s">
        <v>166</v>
      </c>
      <c r="B221" s="20"/>
      <c r="C221" s="24">
        <f>C220/(C162/7)</f>
        <v>44.403590153519147</v>
      </c>
      <c r="D221" s="24">
        <f>D220/'Input Property 3'!$B$64</f>
        <v>23.648523813940173</v>
      </c>
      <c r="E221" s="24">
        <f>E220/'Input Property 3'!$B$64</f>
        <v>21.019506251384168</v>
      </c>
      <c r="F221" s="24">
        <f>F220/'Input Property 3'!$B$64</f>
        <v>18.637271581576154</v>
      </c>
      <c r="G221" s="24">
        <f>G220/'Input Property 3'!$B$64</f>
        <v>16.429223700930198</v>
      </c>
      <c r="H221" s="24">
        <f>H220/'Input Property 3'!$B$64</f>
        <v>12.987567658608269</v>
      </c>
      <c r="I221" s="24">
        <f>I220/'Input Property 3'!$B$64</f>
        <v>10.985105789930415</v>
      </c>
      <c r="J221" s="24">
        <f>J220/'Input Property 3'!$B$64</f>
        <v>8.9425012748634156</v>
      </c>
      <c r="K221" s="24">
        <f>K220/'Input Property 3'!$B$64</f>
        <v>6.8868133304709582</v>
      </c>
      <c r="L221" s="24">
        <f>L220/'Input Property 3'!$B$64</f>
        <v>4.7178295397132288</v>
      </c>
      <c r="M221" s="24">
        <f>M220/'Input Property 3'!$B$64</f>
        <v>2.6635312931329449</v>
      </c>
      <c r="N221" s="24">
        <f>N220/'Input Property 3'!$B$64</f>
        <v>0.47051180450115676</v>
      </c>
      <c r="O221" s="24">
        <f>O220/'Input Property 3'!$B$64</f>
        <v>-1.7890297538871291</v>
      </c>
      <c r="P221" s="24">
        <f>P220/'Input Property 3'!$B$64</f>
        <v>-4.2340829313926802</v>
      </c>
      <c r="Q221" s="24">
        <f>Q220/'Input Property 3'!$B$64</f>
        <v>-6.5344593902909462</v>
      </c>
    </row>
    <row r="222" spans="1:17" x14ac:dyDescent="0.2">
      <c r="A222" s="37"/>
      <c r="B222" s="20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</row>
    <row r="223" spans="1:17" x14ac:dyDescent="0.2">
      <c r="A223" s="9" t="s">
        <v>16</v>
      </c>
      <c r="B223" s="15"/>
      <c r="C223" s="39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</row>
    <row r="224" spans="1:17" x14ac:dyDescent="0.2">
      <c r="A224" s="19" t="s">
        <v>37</v>
      </c>
      <c r="B224" s="24"/>
      <c r="C224" s="24">
        <f>C189+C211+C220</f>
        <v>-1809.5894200998755</v>
      </c>
      <c r="D224" s="24">
        <f>IF('Input Property 3'!$B$33&gt;C161,IF(D161&gt;'Input Property 3'!$B$33,D189+D211+D220+D234,D189+D211+D220),0)</f>
        <v>-1021.2052917388137</v>
      </c>
      <c r="E224" s="24">
        <f>IF('Input Property 3'!$B$33&gt;D161,IF(E161&gt;'Input Property 3'!$B$33,E189+E211+E220+E234,E189+E211+E220),0)</f>
        <v>-699.27135918962449</v>
      </c>
      <c r="F224" s="24">
        <f>IF('Input Property 3'!$B$33&gt;E161,IF(F161&gt;'Input Property 3'!$B$33,F189+F211+F220+F234,F189+F211+F220),0)</f>
        <v>-356.12519423633785</v>
      </c>
      <c r="G224" s="24">
        <f>IF('Input Property 3'!$B$33&gt;F161,IF(G161&gt;'Input Property 3'!$B$33,G189+G211+G220+G234,G189+G211+G220),0)</f>
        <v>44.692779011529638</v>
      </c>
      <c r="H224" s="24">
        <f>IF('Input Property 3'!$B$33&gt;G161,IF(H161&gt;'Input Property 3'!$B$33,H189+H211+H220+H234,H189+H211+H220),0)</f>
        <v>342.72762931260513</v>
      </c>
      <c r="I224" s="24">
        <f>IF('Input Property 3'!$B$33&gt;H161,IF(I161&gt;'Input Property 3'!$B$33,I189+I211+I220+I234,I189+I211+I220),0)</f>
        <v>841.47530537579951</v>
      </c>
      <c r="J224" s="24">
        <f>IF('Input Property 3'!$B$33&gt;I161,IF(J161&gt;'Input Property 3'!$B$33,J189+J211+J220+J234,J189+J211+J220),0)</f>
        <v>1318.0488606712715</v>
      </c>
      <c r="K224" s="24">
        <f>IF('Input Property 3'!$B$33&gt;J161,IF(K161&gt;'Input Property 3'!$B$33,K189+K211+K220+K234,K189+K211+K220),0)</f>
        <v>1845.8132794114827</v>
      </c>
      <c r="L224" s="24">
        <f>IF('Input Property 3'!$B$33&gt;K161,IF(L161&gt;'Input Property 3'!$B$33,L189+L211+L220+L234,L189+L211+L220),0)</f>
        <v>2392.3527057995343</v>
      </c>
      <c r="M224" s="24">
        <f>IF('Input Property 3'!$B$33&gt;L161,IF(M161&gt;'Input Property 3'!$B$33,M189+M211+M220+M234,M189+M211+M220),0)</f>
        <v>3016.0845760090306</v>
      </c>
      <c r="N224" s="24">
        <f>IF('Input Property 3'!$B$33&gt;M161,IF(N161&gt;'Input Property 3'!$B$33,N189+N211+N220+N234,N189+N211+N220),0)</f>
        <v>3591.7381642647852</v>
      </c>
      <c r="O224" s="24">
        <f>IF('Input Property 3'!$B$33&gt;N161,IF(O161&gt;'Input Property 3'!$B$33,O189+O211+O220+O234,O189+O211+O220),0)</f>
        <v>4228.2681846808664</v>
      </c>
      <c r="P224" s="24">
        <f>IF('Input Property 3'!$B$33&gt;O161,IF(P161&gt;'Input Property 3'!$B$33,P189+P211+P220+P234,P189+P211+P220),0)</f>
        <v>4881.2709990717267</v>
      </c>
      <c r="Q224" s="24">
        <f>IF('Input Property 3'!$B$33&gt;P161,IF(Q161&gt;'Input Property 3'!$B$33,Q189+Q211+Q220+Q234,Q189+Q211+Q220),0)</f>
        <v>5631.9710477822482</v>
      </c>
    </row>
    <row r="225" spans="1:17" x14ac:dyDescent="0.2">
      <c r="A225" s="19" t="s">
        <v>172</v>
      </c>
      <c r="B225" s="20"/>
      <c r="C225" s="63">
        <f>C224/(C162/7)</f>
        <v>-72.799574371834069</v>
      </c>
      <c r="D225" s="63">
        <f>D224/'Input Property 3'!$B$64</f>
        <v>-19.544598884953373</v>
      </c>
      <c r="E225" s="63">
        <f>E224/'Input Property 3'!$B$64</f>
        <v>-13.383183907935397</v>
      </c>
      <c r="F225" s="63">
        <f>F224/'Input Property 3'!$B$64</f>
        <v>-6.8157931911260832</v>
      </c>
      <c r="G225" s="63">
        <f>G224/'Input Property 3'!$B$64</f>
        <v>0.85536419160822275</v>
      </c>
      <c r="H225" s="63">
        <f>H224/'Input Property 3'!$B$64</f>
        <v>6.5593804653130166</v>
      </c>
      <c r="I225" s="63">
        <f>I224/'Input Property 3'!$B$64</f>
        <v>16.104790533508126</v>
      </c>
      <c r="J225" s="63">
        <f>J224/'Input Property 3'!$B$64</f>
        <v>25.225815515239645</v>
      </c>
      <c r="K225" s="63">
        <f>K224/'Input Property 3'!$B$64</f>
        <v>35.32656994088962</v>
      </c>
      <c r="L225" s="63">
        <f>L224/'Input Property 3'!$B$64</f>
        <v>45.786654656450416</v>
      </c>
      <c r="M225" s="63">
        <f>M224/'Input Property 3'!$B$64</f>
        <v>57.724106717876182</v>
      </c>
      <c r="N225" s="63">
        <f>N224/'Input Property 3'!$B$64</f>
        <v>68.741400273010242</v>
      </c>
      <c r="O225" s="63">
        <f>O224/'Input Property 3'!$B$64</f>
        <v>80.92379300824625</v>
      </c>
      <c r="P225" s="63">
        <f>P224/'Input Property 3'!$B$64</f>
        <v>93.421454527688553</v>
      </c>
      <c r="Q225" s="63">
        <f>Q224/'Input Property 3'!$B$64</f>
        <v>107.78891957477987</v>
      </c>
    </row>
    <row r="226" spans="1:17" x14ac:dyDescent="0.2">
      <c r="A226" s="9" t="s">
        <v>72</v>
      </c>
      <c r="B226"/>
      <c r="C226" s="1"/>
      <c r="D226" s="4">
        <v>2</v>
      </c>
      <c r="E226" s="2"/>
      <c r="F226"/>
      <c r="G226"/>
      <c r="H226"/>
      <c r="I226"/>
      <c r="J226"/>
      <c r="K226"/>
      <c r="L226"/>
      <c r="M226"/>
      <c r="N226"/>
      <c r="O226"/>
      <c r="P226"/>
      <c r="Q226"/>
    </row>
    <row r="227" spans="1:17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</row>
    <row r="228" spans="1:17" x14ac:dyDescent="0.2">
      <c r="A228" t="s">
        <v>226</v>
      </c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</row>
    <row r="229" spans="1:17" x14ac:dyDescent="0.2">
      <c r="A229" t="s">
        <v>227</v>
      </c>
      <c r="B229"/>
      <c r="C229" s="194">
        <f>'Data Property 3'!C102-'Data Property 3'!C103</f>
        <v>50519.452054794529</v>
      </c>
      <c r="D229" s="194">
        <f>'Data Property 3'!D102-'Data Property 3'!D103</f>
        <v>75837.013698630151</v>
      </c>
      <c r="E229" s="194">
        <f>'Data Property 3'!E102-'Data Property 3'!E103</f>
        <v>102926.80465753429</v>
      </c>
      <c r="F229" s="194">
        <f>'Data Property 3'!F102-'Data Property 3'!F103</f>
        <v>131912.88098356168</v>
      </c>
      <c r="G229" s="194">
        <f>'Data Property 3'!G102-'Data Property 3'!G103</f>
        <v>162927.98265241098</v>
      </c>
      <c r="H229" s="194">
        <f>'Data Property 3'!H102-'Data Property 3'!H103</f>
        <v>196114.14143807977</v>
      </c>
      <c r="I229" s="194">
        <f>'Data Property 3'!I102-'Data Property 3'!I103</f>
        <v>231623.33133874531</v>
      </c>
      <c r="J229" s="194">
        <f>'Data Property 3'!J102-'Data Property 3'!J103</f>
        <v>269618.16453245748</v>
      </c>
      <c r="K229" s="194">
        <f>'Data Property 3'!K102-'Data Property 3'!K103</f>
        <v>310272.63604972954</v>
      </c>
      <c r="L229" s="194">
        <f>'Data Property 3'!L102-'Data Property 3'!L103</f>
        <v>353772.92057321058</v>
      </c>
      <c r="M229" s="194">
        <f>'Data Property 3'!M102-'Data Property 3'!M103</f>
        <v>400318.22501333535</v>
      </c>
      <c r="N229" s="194">
        <f>'Data Property 3'!N102-'Data Property 3'!N103</f>
        <v>450121.70076426887</v>
      </c>
      <c r="O229" s="194">
        <f>'Data Property 3'!O102-'Data Property 3'!O103</f>
        <v>503411.41981776769</v>
      </c>
      <c r="P229" s="194">
        <f>'Data Property 3'!P102-'Data Property 3'!P103</f>
        <v>560431.41920501145</v>
      </c>
      <c r="Q229" s="194">
        <f>'Data Property 3'!Q102-'Data Property 3'!Q103</f>
        <v>621442.81854936224</v>
      </c>
    </row>
    <row r="230" spans="1:17" x14ac:dyDescent="0.2">
      <c r="A230" t="s">
        <v>228</v>
      </c>
      <c r="B230"/>
      <c r="C230" s="195">
        <f>'Input Property 3'!$F$13</f>
        <v>20760</v>
      </c>
      <c r="D230" s="195">
        <f>'Input Property 3'!$F$13</f>
        <v>20760</v>
      </c>
      <c r="E230" s="195">
        <f>'Input Property 3'!$F$13</f>
        <v>20760</v>
      </c>
      <c r="F230" s="195">
        <f>'Input Property 3'!$F$13</f>
        <v>20760</v>
      </c>
      <c r="G230" s="195">
        <f>'Input Property 3'!$F$13</f>
        <v>20760</v>
      </c>
      <c r="H230" s="195">
        <f>'Input Property 3'!$F$13</f>
        <v>20760</v>
      </c>
      <c r="I230" s="195">
        <f>'Input Property 3'!$F$13</f>
        <v>20760</v>
      </c>
      <c r="J230" s="195">
        <f>'Input Property 3'!$F$13</f>
        <v>20760</v>
      </c>
      <c r="K230" s="195">
        <f>'Input Property 3'!$F$13</f>
        <v>20760</v>
      </c>
      <c r="L230" s="195">
        <f>'Input Property 3'!$F$13</f>
        <v>20760</v>
      </c>
      <c r="M230" s="195">
        <f>'Input Property 3'!$F$13</f>
        <v>20760</v>
      </c>
      <c r="N230" s="195">
        <f>'Input Property 3'!$F$13</f>
        <v>20760</v>
      </c>
      <c r="O230" s="195">
        <f>'Input Property 3'!$F$13</f>
        <v>20760</v>
      </c>
      <c r="P230" s="195">
        <f>'Input Property 3'!$F$13</f>
        <v>20760</v>
      </c>
      <c r="Q230" s="195">
        <f>'Input Property 3'!$F$13</f>
        <v>20760</v>
      </c>
    </row>
    <row r="231" spans="1:17" x14ac:dyDescent="0.2">
      <c r="A231" t="s">
        <v>229</v>
      </c>
      <c r="B231"/>
      <c r="C231" s="195">
        <f>'Data Property 3'!C102*'Input Property 3'!B59</f>
        <v>10850.383561643835</v>
      </c>
      <c r="D231" s="195">
        <f>'Data Property 3'!D102*'Input Property 3'!C59</f>
        <v>11900.158171232875</v>
      </c>
      <c r="E231" s="195">
        <f>'Data Property 3'!E102*'Input Property 3'!D59</f>
        <v>13051.498474299655</v>
      </c>
      <c r="F231" s="195">
        <f>'Data Property 3'!F102*'Input Property 3'!E59</f>
        <v>14314.230951688147</v>
      </c>
      <c r="G231" s="195">
        <f>'Data Property 3'!G102*'Input Property 3'!F59</f>
        <v>15699.132796263972</v>
      </c>
      <c r="H231" s="195">
        <f>'Data Property 3'!H102*'Input Property 3'!G59</f>
        <v>17218.023894302511</v>
      </c>
      <c r="I231" s="195">
        <f>'Data Property 3'!I102*'Input Property 3'!H59</f>
        <v>18883.867706076278</v>
      </c>
      <c r="J231" s="195">
        <f>'Data Property 3'!J102*'Input Property 3'!I59</f>
        <v>20710.881906639155</v>
      </c>
      <c r="K231" s="195">
        <f>'Data Property 3'!K102*'Input Property 3'!J59</f>
        <v>22714.659731106494</v>
      </c>
      <c r="L231" s="195">
        <f>'Data Property 3'!L102*'Input Property 3'!K59</f>
        <v>24912.303060091046</v>
      </c>
      <c r="M231" s="195">
        <f>'Data Property 3'!M102*'Input Property 3'!L59</f>
        <v>27322.568381154852</v>
      </c>
      <c r="N231" s="195">
        <f>'Data Property 3'!N102*'Input Property 3'!M59</f>
        <v>29966.02687203158</v>
      </c>
      <c r="O231" s="195">
        <f>'Data Property 3'!O102*'Input Property 3'!N59</f>
        <v>32865.239971900628</v>
      </c>
      <c r="P231" s="195">
        <f>'Data Property 3'!P102*'Input Property 3'!O59</f>
        <v>36044.951939182014</v>
      </c>
      <c r="Q231" s="195">
        <f>'Data Property 3'!Q102*'Input Property 3'!P59</f>
        <v>39532.301039297869</v>
      </c>
    </row>
    <row r="232" spans="1:17" x14ac:dyDescent="0.2">
      <c r="A232" t="s">
        <v>237</v>
      </c>
      <c r="B232"/>
      <c r="C232" s="195">
        <f>'Input Property 3'!B60</f>
        <v>3000</v>
      </c>
      <c r="D232" s="195">
        <f>'Input Property 3'!C60</f>
        <v>3074.9999999999995</v>
      </c>
      <c r="E232" s="195">
        <f>'Input Property 3'!D60</f>
        <v>3151.8749999999991</v>
      </c>
      <c r="F232" s="195">
        <f>'Input Property 3'!E60</f>
        <v>3230.6718749999986</v>
      </c>
      <c r="G232" s="195">
        <f>'Input Property 3'!F60</f>
        <v>3311.4386718749984</v>
      </c>
      <c r="H232" s="195">
        <f>'Input Property 3'!G60</f>
        <v>3394.224638671873</v>
      </c>
      <c r="I232" s="195">
        <f>'Input Property 3'!H60</f>
        <v>3479.0802546386694</v>
      </c>
      <c r="J232" s="195">
        <f>'Input Property 3'!I60</f>
        <v>3566.0572610046361</v>
      </c>
      <c r="K232" s="195">
        <f>'Input Property 3'!J60</f>
        <v>3655.2086925297517</v>
      </c>
      <c r="L232" s="195">
        <f>'Input Property 3'!K60</f>
        <v>3746.5889098429952</v>
      </c>
      <c r="M232" s="195">
        <f>'Input Property 3'!L60</f>
        <v>3840.2536325890696</v>
      </c>
      <c r="N232" s="195">
        <f>'Input Property 3'!M60</f>
        <v>3936.2599734037958</v>
      </c>
      <c r="O232" s="195">
        <f>'Input Property 3'!N60</f>
        <v>4034.6664727388902</v>
      </c>
      <c r="P232" s="195">
        <f>'Input Property 3'!O60</f>
        <v>4135.5331345573622</v>
      </c>
      <c r="Q232" s="195">
        <f>'Input Property 3'!P60</f>
        <v>4238.9214629212956</v>
      </c>
    </row>
    <row r="233" spans="1:17" x14ac:dyDescent="0.2">
      <c r="A233" t="s">
        <v>240</v>
      </c>
      <c r="B233"/>
      <c r="C233" s="195">
        <f>C197</f>
        <v>2625</v>
      </c>
      <c r="D233" s="195">
        <f>SUM($C197:D$197)</f>
        <v>5250</v>
      </c>
      <c r="E233" s="195">
        <f>SUM($C197:E$197)</f>
        <v>7875</v>
      </c>
      <c r="F233" s="195">
        <f>SUM($C197:F$197)</f>
        <v>10500</v>
      </c>
      <c r="G233" s="195">
        <f>SUM($C197:G$197)</f>
        <v>13125</v>
      </c>
      <c r="H233" s="195">
        <f>SUM($C197:H$197)</f>
        <v>15750</v>
      </c>
      <c r="I233" s="195">
        <f>SUM($C197:I$197)</f>
        <v>18375</v>
      </c>
      <c r="J233" s="195">
        <f>SUM($C197:J$197)</f>
        <v>21000</v>
      </c>
      <c r="K233" s="195">
        <f>SUM($C197:K$197)</f>
        <v>23625</v>
      </c>
      <c r="L233" s="195">
        <f>SUM($C197:L$197)</f>
        <v>26250</v>
      </c>
      <c r="M233" s="195">
        <f>SUM($C197:M$197)</f>
        <v>28875</v>
      </c>
      <c r="N233" s="195">
        <f>SUM($C197:N$197)</f>
        <v>31500</v>
      </c>
      <c r="O233" s="195">
        <f>SUM($C197:O$197)</f>
        <v>34125</v>
      </c>
      <c r="P233" s="195">
        <f>SUM($C197:P$197)</f>
        <v>36750</v>
      </c>
      <c r="Q233" s="195">
        <f>SUM($C197:Q$197)</f>
        <v>39375</v>
      </c>
    </row>
    <row r="234" spans="1:17" x14ac:dyDescent="0.2">
      <c r="A234" t="s">
        <v>234</v>
      </c>
      <c r="B234"/>
      <c r="C234" s="195">
        <f t="shared" ref="C234:Q234" si="44">C229-C230-C231-C232+C233</f>
        <v>18534.068493150691</v>
      </c>
      <c r="D234" s="195">
        <f t="shared" si="44"/>
        <v>45351.855527397274</v>
      </c>
      <c r="E234" s="195">
        <f t="shared" si="44"/>
        <v>73838.431183234628</v>
      </c>
      <c r="F234" s="195">
        <f t="shared" si="44"/>
        <v>104107.97815687353</v>
      </c>
      <c r="G234" s="195">
        <f t="shared" si="44"/>
        <v>136282.411184272</v>
      </c>
      <c r="H234" s="195">
        <f t="shared" si="44"/>
        <v>170491.89290510537</v>
      </c>
      <c r="I234" s="195">
        <f t="shared" si="44"/>
        <v>206875.38337803038</v>
      </c>
      <c r="J234" s="195">
        <f t="shared" si="44"/>
        <v>245581.2253648137</v>
      </c>
      <c r="K234" s="195">
        <f t="shared" si="44"/>
        <v>286767.76762609329</v>
      </c>
      <c r="L234" s="195">
        <f t="shared" si="44"/>
        <v>330604.02860327653</v>
      </c>
      <c r="M234" s="195">
        <f t="shared" si="44"/>
        <v>377270.40299959143</v>
      </c>
      <c r="N234" s="195">
        <f t="shared" si="44"/>
        <v>426959.41391883348</v>
      </c>
      <c r="O234" s="195">
        <f t="shared" si="44"/>
        <v>479876.51337312814</v>
      </c>
      <c r="P234" s="195">
        <f t="shared" si="44"/>
        <v>536240.93413127214</v>
      </c>
      <c r="Q234" s="195">
        <f t="shared" si="44"/>
        <v>596286.5960471431</v>
      </c>
    </row>
    <row r="235" spans="1:17" x14ac:dyDescent="0.2">
      <c r="A235" t="s">
        <v>231</v>
      </c>
      <c r="B235"/>
      <c r="C235" s="195">
        <f>IF(C234&lt;0,C234,IF('Input Property 3'!$B$33&gt;('Input Property 3'!$B$21+365),C234*0.5))</f>
        <v>9267.0342465753456</v>
      </c>
      <c r="D235" s="195">
        <f>IF(D234&lt;0,D234,IF('Input Property 3'!$B$33&gt;('Input Property 3'!$B$21+365),D234*0.5))</f>
        <v>22675.927763698637</v>
      </c>
      <c r="E235" s="195">
        <f>IF(E234&lt;0,E234,IF('Input Property 3'!$B$33&gt;('Input Property 3'!$B$21+365),E234*0.5))</f>
        <v>36919.215591617314</v>
      </c>
      <c r="F235" s="195">
        <f>IF(F234&lt;0,F234,IF('Input Property 3'!$B$33&gt;('Input Property 3'!$B$21+365),F234*0.5))</f>
        <v>52053.989078436767</v>
      </c>
      <c r="G235" s="195">
        <f>IF(G234&lt;0,G234,IF('Input Property 3'!$B$33&gt;('Input Property 3'!$B$21+365),G234*0.5))</f>
        <v>68141.205592136001</v>
      </c>
      <c r="H235" s="195">
        <f>IF(H234&lt;0,H234,IF('Input Property 3'!$B$33&gt;('Input Property 3'!$B$21+365),H234*0.5))</f>
        <v>85245.946452552686</v>
      </c>
      <c r="I235" s="195">
        <f>IF(I234&lt;0,I234,IF('Input Property 3'!$B$33&gt;('Input Property 3'!$B$21+365),I234*0.5))</f>
        <v>103437.69168901519</v>
      </c>
      <c r="J235" s="195">
        <f>IF(J234&lt;0,J234,IF('Input Property 3'!$B$33&gt;('Input Property 3'!$B$21+365),J234*0.5))</f>
        <v>122790.61268240685</v>
      </c>
      <c r="K235" s="195">
        <f>IF(K234&lt;0,K234,IF('Input Property 3'!$B$33&gt;('Input Property 3'!$B$21+365),K234*0.5))</f>
        <v>143383.88381304665</v>
      </c>
      <c r="L235" s="195">
        <f>IF(L234&lt;0,L234,IF('Input Property 3'!$B$33&gt;('Input Property 3'!$B$21+365),L234*0.5))</f>
        <v>165302.01430163826</v>
      </c>
      <c r="M235" s="195">
        <f>IF(M234&lt;0,M234,IF('Input Property 3'!$B$33&gt;('Input Property 3'!$B$21+365),M234*0.5))</f>
        <v>188635.20149979572</v>
      </c>
      <c r="N235" s="195">
        <f>IF(N234&lt;0,N234,IF('Input Property 3'!$B$33&gt;('Input Property 3'!$B$21+365),N234*0.5))</f>
        <v>213479.70695941674</v>
      </c>
      <c r="O235" s="195">
        <f>IF(O234&lt;0,O234,IF('Input Property 3'!$B$33&gt;('Input Property 3'!$B$21+365),O234*0.5))</f>
        <v>239938.25668656407</v>
      </c>
      <c r="P235" s="195">
        <f>IF(P234&lt;0,P234,IF('Input Property 3'!$B$33&gt;('Input Property 3'!$B$21+365),P234*0.5))</f>
        <v>268120.46706563607</v>
      </c>
      <c r="Q235" s="195">
        <f>IF(Q234&lt;0,Q234,IF('Input Property 3'!$B$33&gt;('Input Property 3'!$B$21+365),Q234*0.5))</f>
        <v>298143.29802357155</v>
      </c>
    </row>
    <row r="236" spans="1:17" x14ac:dyDescent="0.2">
      <c r="A236" t="s">
        <v>232</v>
      </c>
      <c r="B236"/>
      <c r="C236" s="195">
        <f>C235*'Input Property 3'!$B$26</f>
        <v>7413.6273972602767</v>
      </c>
      <c r="D236" s="195">
        <f>D235*'Input Property 3'!$B$26</f>
        <v>18140.74221095891</v>
      </c>
      <c r="E236" s="195">
        <f>E235*'Input Property 3'!$B$26</f>
        <v>29535.372473293854</v>
      </c>
      <c r="F236" s="195">
        <f>F235*'Input Property 3'!$B$26</f>
        <v>41643.191262749417</v>
      </c>
      <c r="G236" s="195">
        <f>G235*'Input Property 3'!$B$26</f>
        <v>54512.964473708802</v>
      </c>
      <c r="H236" s="195">
        <f>H235*'Input Property 3'!$B$26</f>
        <v>68196.757162042151</v>
      </c>
      <c r="I236" s="195">
        <f>I235*'Input Property 3'!$B$26</f>
        <v>82750.153351212153</v>
      </c>
      <c r="J236" s="195">
        <f>J235*'Input Property 3'!$B$26</f>
        <v>98232.490145925491</v>
      </c>
      <c r="K236" s="195">
        <f>K235*'Input Property 3'!$B$26</f>
        <v>114707.10705043732</v>
      </c>
      <c r="L236" s="195">
        <f>L235*'Input Property 3'!$B$26</f>
        <v>132241.61144131061</v>
      </c>
      <c r="M236" s="195">
        <f>M235*'Input Property 3'!$B$26</f>
        <v>150908.16119983658</v>
      </c>
      <c r="N236" s="195">
        <f>N235*'Input Property 3'!$B$26</f>
        <v>170783.76556753341</v>
      </c>
      <c r="O236" s="195">
        <f>O235*'Input Property 3'!$B$26</f>
        <v>191950.60534925127</v>
      </c>
      <c r="P236" s="195">
        <f>P235*'Input Property 3'!$B$26</f>
        <v>214496.37365250886</v>
      </c>
      <c r="Q236" s="195">
        <f>Q235*'Input Property 3'!$B$26</f>
        <v>238514.63841885724</v>
      </c>
    </row>
    <row r="237" spans="1:17" x14ac:dyDescent="0.2">
      <c r="A237" t="s">
        <v>233</v>
      </c>
      <c r="B237"/>
      <c r="C237" s="195">
        <f>C235*'Input Property 3'!$B$27</f>
        <v>1853.4068493150687</v>
      </c>
      <c r="D237" s="195">
        <f>D235*'Input Property 3'!$B$27</f>
        <v>4535.1855527397265</v>
      </c>
      <c r="E237" s="195">
        <f>E235*'Input Property 3'!$B$27</f>
        <v>7383.8431183234616</v>
      </c>
      <c r="F237" s="195">
        <f>F235*'Input Property 3'!$B$27</f>
        <v>10410.797815687351</v>
      </c>
      <c r="G237" s="195">
        <f>G235*'Input Property 3'!$B$27</f>
        <v>13628.241118427197</v>
      </c>
      <c r="H237" s="195">
        <f>H235*'Input Property 3'!$B$27</f>
        <v>17049.189290510534</v>
      </c>
      <c r="I237" s="195">
        <f>I235*'Input Property 3'!$B$27</f>
        <v>20687.538337803035</v>
      </c>
      <c r="J237" s="195">
        <f>J235*'Input Property 3'!$B$27</f>
        <v>24558.122536481365</v>
      </c>
      <c r="K237" s="195">
        <f>K235*'Input Property 3'!$B$27</f>
        <v>28676.776762609323</v>
      </c>
      <c r="L237" s="195">
        <f>L235*'Input Property 3'!$B$27</f>
        <v>33060.402860327646</v>
      </c>
      <c r="M237" s="195">
        <f>M235*'Input Property 3'!$B$27</f>
        <v>37727.040299959132</v>
      </c>
      <c r="N237" s="195">
        <f>N235*'Input Property 3'!$B$27</f>
        <v>42695.941391883338</v>
      </c>
      <c r="O237" s="195">
        <f>O235*'Input Property 3'!$B$27</f>
        <v>47987.651337312804</v>
      </c>
      <c r="P237" s="195">
        <f>P235*'Input Property 3'!$B$27</f>
        <v>53624.093413127201</v>
      </c>
      <c r="Q237" s="195">
        <f>Q235*'Input Property 3'!$B$27</f>
        <v>59628.659604714296</v>
      </c>
    </row>
  </sheetData>
  <pageMargins left="0.47" right="0.5" top="1" bottom="1" header="0.5" footer="0.5"/>
  <pageSetup paperSize="9" orientation="landscape" horizontalDpi="300" verticalDpi="300" r:id="rId1"/>
  <headerFooter alignWithMargins="0">
    <oddHeader>&amp;C&amp;F &amp;A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67"/>
  <sheetViews>
    <sheetView topLeftCell="A19" zoomScale="80" zoomScaleNormal="80" workbookViewId="0">
      <selection activeCell="E74" sqref="E74"/>
    </sheetView>
  </sheetViews>
  <sheetFormatPr defaultColWidth="9.140625" defaultRowHeight="12.75" x14ac:dyDescent="0.2"/>
  <cols>
    <col min="1" max="1" width="28.140625" style="46" customWidth="1"/>
    <col min="2" max="2" width="12.42578125" style="46" bestFit="1" customWidth="1"/>
    <col min="3" max="6" width="10.42578125" style="46" customWidth="1"/>
    <col min="7" max="7" width="11.5703125" style="46" customWidth="1"/>
    <col min="8" max="16" width="10.42578125" style="46" customWidth="1"/>
    <col min="17" max="17" width="10.42578125" style="46" hidden="1" customWidth="1"/>
    <col min="18" max="22" width="0" style="46" hidden="1" customWidth="1"/>
    <col min="23" max="16384" width="9.140625" style="46"/>
  </cols>
  <sheetData>
    <row r="1" spans="1:25" x14ac:dyDescent="0.2">
      <c r="A1" s="72" t="s">
        <v>145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25" x14ac:dyDescent="0.2">
      <c r="A2" s="155" t="s">
        <v>8</v>
      </c>
      <c r="B2" s="254" t="s">
        <v>5</v>
      </c>
      <c r="C2" s="156"/>
      <c r="D2" s="156"/>
      <c r="E2" s="157" t="s">
        <v>38</v>
      </c>
      <c r="F2" s="158"/>
      <c r="G2" s="156"/>
      <c r="H2" s="156"/>
      <c r="I2" s="156"/>
      <c r="J2" s="157" t="s">
        <v>43</v>
      </c>
      <c r="K2" s="159"/>
      <c r="L2" s="71"/>
    </row>
    <row r="3" spans="1:25" x14ac:dyDescent="0.2">
      <c r="A3" s="160" t="s">
        <v>117</v>
      </c>
      <c r="B3" s="137">
        <v>860000</v>
      </c>
      <c r="E3" s="138" t="s">
        <v>60</v>
      </c>
      <c r="F3" s="51">
        <f>Duties!B1</f>
        <v>19660</v>
      </c>
      <c r="J3" s="138" t="s">
        <v>9</v>
      </c>
      <c r="K3" s="161">
        <f>Duties!B10</f>
        <v>1410</v>
      </c>
      <c r="L3" s="71"/>
      <c r="W3" s="46" t="s">
        <v>172</v>
      </c>
      <c r="Y3" s="46" t="s">
        <v>1</v>
      </c>
    </row>
    <row r="4" spans="1:25" x14ac:dyDescent="0.2">
      <c r="A4" s="160" t="s">
        <v>11</v>
      </c>
      <c r="B4" s="137">
        <v>130000</v>
      </c>
      <c r="E4" s="138" t="s">
        <v>68</v>
      </c>
      <c r="F4" s="139"/>
      <c r="J4" s="140" t="s">
        <v>85</v>
      </c>
      <c r="K4" s="161">
        <v>0</v>
      </c>
      <c r="L4" s="71"/>
      <c r="M4" s="141"/>
      <c r="W4" s="46" t="s">
        <v>215</v>
      </c>
      <c r="Y4" s="46" t="s">
        <v>0</v>
      </c>
    </row>
    <row r="5" spans="1:25" x14ac:dyDescent="0.2">
      <c r="A5" s="160" t="s">
        <v>86</v>
      </c>
      <c r="B5" s="142">
        <f>'Input Property 4'!B3+F13+K13</f>
        <v>882570</v>
      </c>
      <c r="C5" s="142"/>
      <c r="E5" s="138" t="s">
        <v>61</v>
      </c>
      <c r="F5" s="139">
        <v>800</v>
      </c>
      <c r="J5" s="140" t="s">
        <v>221</v>
      </c>
      <c r="K5" s="162">
        <f>K4*0.11</f>
        <v>0</v>
      </c>
      <c r="L5" s="71"/>
      <c r="M5" s="141"/>
      <c r="W5" s="46" t="s">
        <v>216</v>
      </c>
      <c r="Y5" s="46" t="s">
        <v>5</v>
      </c>
    </row>
    <row r="6" spans="1:25" x14ac:dyDescent="0.2">
      <c r="A6" s="160" t="s">
        <v>17</v>
      </c>
      <c r="B6" s="137">
        <v>550</v>
      </c>
      <c r="E6" s="138" t="s">
        <v>62</v>
      </c>
      <c r="F6" s="139"/>
      <c r="G6" s="51"/>
      <c r="J6" s="138" t="s">
        <v>87</v>
      </c>
      <c r="K6" s="163"/>
      <c r="L6" s="71"/>
      <c r="M6" s="141"/>
      <c r="W6" s="46" t="s">
        <v>217</v>
      </c>
      <c r="Y6" s="46" t="s">
        <v>7</v>
      </c>
    </row>
    <row r="7" spans="1:25" x14ac:dyDescent="0.2">
      <c r="A7" s="160" t="s">
        <v>149</v>
      </c>
      <c r="B7" s="143">
        <v>50</v>
      </c>
      <c r="E7" s="138" t="s">
        <v>63</v>
      </c>
      <c r="F7" s="139"/>
      <c r="G7" s="51"/>
      <c r="J7" s="138" t="s">
        <v>222</v>
      </c>
      <c r="K7" s="162">
        <f>K6*0.11</f>
        <v>0</v>
      </c>
      <c r="L7" s="71"/>
      <c r="M7" s="141"/>
      <c r="W7" s="46" t="s">
        <v>37</v>
      </c>
      <c r="Y7" s="46" t="s">
        <v>4</v>
      </c>
    </row>
    <row r="8" spans="1:25" x14ac:dyDescent="0.2">
      <c r="A8" s="212" t="s">
        <v>84</v>
      </c>
      <c r="B8" s="147">
        <f>(B3-B4)/B3</f>
        <v>0.84883720930232553</v>
      </c>
      <c r="C8" s="249" t="str">
        <f>IF(B8&gt;0.8,"LMI?","")</f>
        <v>LMI?</v>
      </c>
      <c r="E8" s="138" t="s">
        <v>64</v>
      </c>
      <c r="F8" s="139">
        <v>300</v>
      </c>
      <c r="G8" s="51"/>
      <c r="J8" s="140" t="s">
        <v>73</v>
      </c>
      <c r="K8" s="161">
        <v>0</v>
      </c>
      <c r="L8" s="71"/>
      <c r="M8" s="141"/>
      <c r="Y8" s="46" t="s">
        <v>6</v>
      </c>
    </row>
    <row r="9" spans="1:25" x14ac:dyDescent="0.2">
      <c r="A9" s="85"/>
      <c r="J9" s="140" t="s">
        <v>65</v>
      </c>
      <c r="K9" s="161"/>
      <c r="L9" s="71"/>
      <c r="M9" s="141"/>
      <c r="Y9" s="46" t="s">
        <v>3</v>
      </c>
    </row>
    <row r="10" spans="1:25" x14ac:dyDescent="0.2">
      <c r="A10" s="85"/>
      <c r="G10" s="51"/>
      <c r="J10" s="138" t="s">
        <v>67</v>
      </c>
      <c r="K10" s="161"/>
      <c r="L10" s="71"/>
      <c r="M10" s="141"/>
      <c r="Y10" s="46" t="s">
        <v>2</v>
      </c>
    </row>
    <row r="11" spans="1:25" x14ac:dyDescent="0.2">
      <c r="A11" s="85"/>
      <c r="F11" s="51"/>
      <c r="G11" s="51"/>
      <c r="J11" s="138" t="s">
        <v>66</v>
      </c>
      <c r="K11" s="161">
        <v>400</v>
      </c>
      <c r="L11" s="71"/>
      <c r="M11" s="141"/>
    </row>
    <row r="12" spans="1:25" x14ac:dyDescent="0.2">
      <c r="A12" s="85"/>
      <c r="K12" s="164"/>
      <c r="L12" s="71"/>
      <c r="M12" s="141"/>
    </row>
    <row r="13" spans="1:25" x14ac:dyDescent="0.2">
      <c r="A13" s="88"/>
      <c r="B13" s="165"/>
      <c r="C13" s="165"/>
      <c r="D13" s="165"/>
      <c r="E13" s="166" t="s">
        <v>44</v>
      </c>
      <c r="F13" s="167">
        <f>SUM(F3:F11)</f>
        <v>20760</v>
      </c>
      <c r="G13" s="165"/>
      <c r="H13" s="165"/>
      <c r="I13" s="165"/>
      <c r="J13" s="168" t="s">
        <v>44</v>
      </c>
      <c r="K13" s="169">
        <f>SUM(K3:K11)</f>
        <v>1810</v>
      </c>
      <c r="L13" s="71"/>
    </row>
    <row r="14" spans="1:25" hidden="1" x14ac:dyDescent="0.2">
      <c r="A14" s="136" t="s">
        <v>82</v>
      </c>
      <c r="B14" s="145">
        <f>'Input Property 4'!B3+F13+SUM(K4:K11)-B4</f>
        <v>751160</v>
      </c>
      <c r="C14" s="82"/>
      <c r="D14" s="82"/>
      <c r="E14" s="200"/>
      <c r="F14" s="201"/>
      <c r="G14" s="82"/>
      <c r="H14" s="82"/>
      <c r="I14" s="82"/>
      <c r="J14" s="202"/>
      <c r="K14" s="203"/>
      <c r="L14" s="71"/>
    </row>
    <row r="15" spans="1:25" x14ac:dyDescent="0.2">
      <c r="A15" s="60"/>
      <c r="B15" s="60"/>
      <c r="C15" s="60"/>
      <c r="D15" s="82"/>
      <c r="E15" s="82"/>
      <c r="F15" s="82"/>
      <c r="G15" s="82"/>
      <c r="H15" s="60"/>
      <c r="I15" s="60"/>
      <c r="J15" s="60"/>
      <c r="K15" s="60"/>
    </row>
    <row r="16" spans="1:25" x14ac:dyDescent="0.2">
      <c r="A16" s="136" t="s">
        <v>82</v>
      </c>
      <c r="B16" s="142">
        <f>B5-B4+Duties!B10</f>
        <v>753980</v>
      </c>
      <c r="C16" s="75"/>
      <c r="D16" s="178"/>
      <c r="E16" s="381" t="s">
        <v>213</v>
      </c>
      <c r="F16" s="382"/>
      <c r="G16" s="171"/>
      <c r="H16" s="71"/>
      <c r="I16" s="170"/>
      <c r="J16" s="156" t="s">
        <v>219</v>
      </c>
      <c r="K16" s="171"/>
    </row>
    <row r="17" spans="1:22" x14ac:dyDescent="0.2">
      <c r="A17" s="136" t="s">
        <v>83</v>
      </c>
      <c r="B17" s="145"/>
      <c r="C17" s="75"/>
      <c r="D17" s="379" t="s">
        <v>119</v>
      </c>
      <c r="E17" s="380"/>
      <c r="F17" s="217">
        <v>7.0000000000000007E-2</v>
      </c>
      <c r="G17" s="164"/>
      <c r="H17" s="71"/>
      <c r="I17" s="379" t="s">
        <v>119</v>
      </c>
      <c r="J17" s="380"/>
      <c r="K17" s="183">
        <f>F17</f>
        <v>7.0000000000000007E-2</v>
      </c>
    </row>
    <row r="18" spans="1:22" x14ac:dyDescent="0.2">
      <c r="A18" s="136" t="s">
        <v>88</v>
      </c>
      <c r="B18" s="255">
        <v>3.6400000000000002E-2</v>
      </c>
      <c r="C18" s="75"/>
      <c r="D18" s="85"/>
      <c r="E18" s="179" t="s">
        <v>54</v>
      </c>
      <c r="F18" s="181">
        <v>400</v>
      </c>
      <c r="G18" s="182" t="s">
        <v>217</v>
      </c>
      <c r="H18" s="71"/>
      <c r="I18" s="85"/>
      <c r="J18" s="146" t="s">
        <v>54</v>
      </c>
      <c r="K18" s="184">
        <f t="shared" ref="K18:K31" si="0">IF(G18=$W$3,F18*52.25,IF(G18=$W$4,F18*26,IF(G18=$W$5,F18*12,IF(G18=$W$6,F18*4,IF(G18=$W$7,F18,0)))))</f>
        <v>1600</v>
      </c>
    </row>
    <row r="19" spans="1:22" x14ac:dyDescent="0.2">
      <c r="A19" s="136" t="s">
        <v>89</v>
      </c>
      <c r="B19" s="147"/>
      <c r="C19" s="75"/>
      <c r="D19" s="85"/>
      <c r="E19" s="179" t="s">
        <v>55</v>
      </c>
      <c r="F19" s="181">
        <v>500</v>
      </c>
      <c r="G19" s="182" t="s">
        <v>37</v>
      </c>
      <c r="H19" s="71"/>
      <c r="I19" s="85"/>
      <c r="J19" s="146" t="s">
        <v>55</v>
      </c>
      <c r="K19" s="184">
        <f t="shared" si="0"/>
        <v>500</v>
      </c>
    </row>
    <row r="20" spans="1:22" x14ac:dyDescent="0.2">
      <c r="A20" s="136" t="s">
        <v>29</v>
      </c>
      <c r="B20" s="148">
        <v>43472</v>
      </c>
      <c r="C20" s="75"/>
      <c r="D20" s="85"/>
      <c r="E20" s="179" t="s">
        <v>212</v>
      </c>
      <c r="F20" s="181">
        <v>0</v>
      </c>
      <c r="G20" s="182" t="s">
        <v>172</v>
      </c>
      <c r="H20" s="71"/>
      <c r="I20" s="85"/>
      <c r="J20" s="146" t="s">
        <v>212</v>
      </c>
      <c r="K20" s="184">
        <f t="shared" si="0"/>
        <v>0</v>
      </c>
    </row>
    <row r="21" spans="1:22" x14ac:dyDescent="0.2">
      <c r="A21" s="136" t="s">
        <v>155</v>
      </c>
      <c r="B21" s="251">
        <f>DATE(YEAR(B20),6,30)</f>
        <v>43646</v>
      </c>
      <c r="C21" s="75"/>
      <c r="D21" s="85"/>
      <c r="E21" s="179" t="s">
        <v>28</v>
      </c>
      <c r="F21" s="181">
        <v>0</v>
      </c>
      <c r="G21" s="182" t="s">
        <v>172</v>
      </c>
      <c r="H21" s="71"/>
      <c r="I21" s="85"/>
      <c r="J21" s="146" t="s">
        <v>28</v>
      </c>
      <c r="K21" s="184">
        <f t="shared" si="0"/>
        <v>0</v>
      </c>
    </row>
    <row r="22" spans="1:22" x14ac:dyDescent="0.2">
      <c r="A22" s="212" t="s">
        <v>165</v>
      </c>
      <c r="B22" s="211">
        <v>2.5000000000000001E-2</v>
      </c>
      <c r="C22" s="75"/>
      <c r="D22" s="85"/>
      <c r="E22" s="179" t="s">
        <v>18</v>
      </c>
      <c r="F22" s="181">
        <v>0</v>
      </c>
      <c r="G22" s="182" t="s">
        <v>172</v>
      </c>
      <c r="H22" s="71"/>
      <c r="I22" s="85"/>
      <c r="J22" s="146" t="s">
        <v>18</v>
      </c>
      <c r="K22" s="184">
        <f t="shared" si="0"/>
        <v>0</v>
      </c>
    </row>
    <row r="23" spans="1:22" x14ac:dyDescent="0.2">
      <c r="A23" s="212" t="s">
        <v>243</v>
      </c>
      <c r="B23" s="211">
        <v>0.06</v>
      </c>
      <c r="C23" s="177"/>
      <c r="D23" s="85"/>
      <c r="E23" s="179" t="s">
        <v>19</v>
      </c>
      <c r="F23" s="181">
        <v>1200</v>
      </c>
      <c r="G23" s="182" t="s">
        <v>37</v>
      </c>
      <c r="H23" s="71"/>
      <c r="I23" s="85"/>
      <c r="J23" s="146" t="s">
        <v>19</v>
      </c>
      <c r="K23" s="184">
        <f t="shared" si="0"/>
        <v>1200</v>
      </c>
    </row>
    <row r="24" spans="1:22" x14ac:dyDescent="0.2">
      <c r="C24" s="75"/>
      <c r="D24" s="85"/>
      <c r="E24" s="179" t="s">
        <v>20</v>
      </c>
      <c r="F24" s="181">
        <v>0</v>
      </c>
      <c r="G24" s="182" t="s">
        <v>172</v>
      </c>
      <c r="H24" s="71"/>
      <c r="I24" s="85"/>
      <c r="J24" s="146" t="s">
        <v>20</v>
      </c>
      <c r="K24" s="184">
        <f t="shared" si="0"/>
        <v>0</v>
      </c>
    </row>
    <row r="25" spans="1:22" x14ac:dyDescent="0.2">
      <c r="A25" s="144" t="s">
        <v>148</v>
      </c>
      <c r="B25" s="149"/>
      <c r="C25" s="75"/>
      <c r="D25" s="85"/>
      <c r="E25" s="179" t="s">
        <v>21</v>
      </c>
      <c r="F25" s="181">
        <v>0</v>
      </c>
      <c r="G25" s="182" t="s">
        <v>172</v>
      </c>
      <c r="H25" s="71"/>
      <c r="I25" s="85"/>
      <c r="J25" s="146" t="s">
        <v>21</v>
      </c>
      <c r="K25" s="184">
        <f t="shared" si="0"/>
        <v>0</v>
      </c>
    </row>
    <row r="26" spans="1:22" x14ac:dyDescent="0.2">
      <c r="A26" s="136" t="s">
        <v>140</v>
      </c>
      <c r="B26" s="150">
        <v>0.5</v>
      </c>
      <c r="C26" s="75"/>
      <c r="D26" s="85"/>
      <c r="E26" s="179" t="s">
        <v>22</v>
      </c>
      <c r="F26" s="181">
        <v>0</v>
      </c>
      <c r="G26" s="182" t="s">
        <v>172</v>
      </c>
      <c r="H26" s="71"/>
      <c r="I26" s="85"/>
      <c r="J26" s="146" t="s">
        <v>22</v>
      </c>
      <c r="K26" s="184">
        <f t="shared" si="0"/>
        <v>0</v>
      </c>
      <c r="V26" s="46">
        <v>0.5</v>
      </c>
    </row>
    <row r="27" spans="1:22" x14ac:dyDescent="0.2">
      <c r="A27" s="136" t="s">
        <v>141</v>
      </c>
      <c r="B27" s="151">
        <f>1-B26</f>
        <v>0.5</v>
      </c>
      <c r="C27" s="75"/>
      <c r="D27" s="85"/>
      <c r="E27" s="179" t="s">
        <v>23</v>
      </c>
      <c r="F27" s="181">
        <v>0</v>
      </c>
      <c r="G27" s="182" t="s">
        <v>172</v>
      </c>
      <c r="H27" s="71"/>
      <c r="I27" s="85"/>
      <c r="J27" s="146" t="s">
        <v>23</v>
      </c>
      <c r="K27" s="184">
        <f t="shared" si="0"/>
        <v>0</v>
      </c>
      <c r="V27" s="46">
        <v>1</v>
      </c>
    </row>
    <row r="28" spans="1:22" x14ac:dyDescent="0.2">
      <c r="A28" s="144" t="s">
        <v>50</v>
      </c>
      <c r="B28" s="151"/>
      <c r="C28" s="75"/>
      <c r="D28" s="85"/>
      <c r="E28" s="179" t="s">
        <v>24</v>
      </c>
      <c r="F28" s="181">
        <v>0</v>
      </c>
      <c r="G28" s="182" t="s">
        <v>172</v>
      </c>
      <c r="H28" s="71"/>
      <c r="I28" s="85"/>
      <c r="J28" s="146" t="s">
        <v>24</v>
      </c>
      <c r="K28" s="184">
        <f t="shared" si="0"/>
        <v>0</v>
      </c>
      <c r="V28" s="46">
        <v>2</v>
      </c>
    </row>
    <row r="29" spans="1:22" x14ac:dyDescent="0.2">
      <c r="A29" s="136" t="s">
        <v>146</v>
      </c>
      <c r="B29" s="378">
        <f>'Input Property 1'!B29</f>
        <v>123000</v>
      </c>
      <c r="C29" s="75"/>
      <c r="D29" s="85"/>
      <c r="E29" s="179" t="s">
        <v>25</v>
      </c>
      <c r="F29" s="181">
        <v>0</v>
      </c>
      <c r="G29" s="182" t="s">
        <v>215</v>
      </c>
      <c r="H29" s="71"/>
      <c r="I29" s="85"/>
      <c r="J29" s="146" t="s">
        <v>25</v>
      </c>
      <c r="K29" s="184">
        <f t="shared" si="0"/>
        <v>0</v>
      </c>
    </row>
    <row r="30" spans="1:22" x14ac:dyDescent="0.2">
      <c r="A30" s="136" t="s">
        <v>147</v>
      </c>
      <c r="B30" s="378">
        <f>'Input Property 1'!B30</f>
        <v>96000</v>
      </c>
      <c r="C30" s="75"/>
      <c r="D30" s="85"/>
      <c r="E30" s="179" t="s">
        <v>26</v>
      </c>
      <c r="F30" s="181">
        <v>11</v>
      </c>
      <c r="G30" s="182" t="s">
        <v>172</v>
      </c>
      <c r="H30" s="71"/>
      <c r="I30" s="85"/>
      <c r="J30" s="146" t="s">
        <v>26</v>
      </c>
      <c r="K30" s="184">
        <f t="shared" si="0"/>
        <v>574.75</v>
      </c>
    </row>
    <row r="31" spans="1:22" x14ac:dyDescent="0.2">
      <c r="A31" s="136" t="s">
        <v>242</v>
      </c>
      <c r="B31" s="239">
        <f>'Input Property 1'!B31</f>
        <v>0.02</v>
      </c>
      <c r="C31" s="75"/>
      <c r="D31" s="85"/>
      <c r="E31" s="179" t="s">
        <v>27</v>
      </c>
      <c r="F31" s="181">
        <v>0</v>
      </c>
      <c r="G31" s="182" t="s">
        <v>172</v>
      </c>
      <c r="H31" s="71"/>
      <c r="I31" s="85"/>
      <c r="J31" s="146" t="s">
        <v>27</v>
      </c>
      <c r="K31" s="184">
        <f t="shared" si="0"/>
        <v>0</v>
      </c>
    </row>
    <row r="32" spans="1:22" x14ac:dyDescent="0.2">
      <c r="A32" s="136" t="s">
        <v>30</v>
      </c>
      <c r="B32" s="148">
        <v>25080</v>
      </c>
      <c r="C32" s="75"/>
      <c r="D32" s="88"/>
      <c r="E32" s="180"/>
      <c r="F32" s="218"/>
      <c r="G32" s="219"/>
      <c r="H32" s="71"/>
      <c r="I32" s="88"/>
      <c r="J32" s="172"/>
      <c r="K32" s="185"/>
    </row>
    <row r="33" spans="1:17" x14ac:dyDescent="0.2">
      <c r="A33" s="174" t="s">
        <v>156</v>
      </c>
      <c r="B33" s="175">
        <f>B20+(100*365)</f>
        <v>79972</v>
      </c>
      <c r="C33" s="75"/>
      <c r="H33" s="71"/>
      <c r="K33" s="60"/>
    </row>
    <row r="34" spans="1:17" x14ac:dyDescent="0.2">
      <c r="A34" s="174" t="s">
        <v>223</v>
      </c>
      <c r="B34" s="187">
        <v>0.3</v>
      </c>
      <c r="C34" s="75"/>
      <c r="D34" s="60"/>
      <c r="E34" s="60"/>
      <c r="F34" s="60"/>
      <c r="G34" s="60"/>
      <c r="H34" s="71"/>
      <c r="K34" s="60"/>
    </row>
    <row r="35" spans="1:17" x14ac:dyDescent="0.2">
      <c r="A35" s="174" t="s">
        <v>224</v>
      </c>
      <c r="B35" s="192">
        <v>5000</v>
      </c>
      <c r="C35" s="75"/>
      <c r="D35" s="60"/>
      <c r="E35" s="60"/>
      <c r="F35" s="60"/>
      <c r="G35" s="60"/>
      <c r="H35" s="71"/>
      <c r="K35" s="60"/>
    </row>
    <row r="36" spans="1:17" x14ac:dyDescent="0.2">
      <c r="A36" s="212" t="s">
        <v>150</v>
      </c>
      <c r="B36" s="239">
        <f>'Input Property 1'!B36</f>
        <v>2.5000000000000001E-2</v>
      </c>
      <c r="D36" s="60"/>
      <c r="E36" s="60"/>
      <c r="F36" s="60"/>
      <c r="G36" s="60"/>
      <c r="K36" s="60"/>
    </row>
    <row r="37" spans="1:17" x14ac:dyDescent="0.2">
      <c r="A37" s="214"/>
      <c r="B37" s="247"/>
      <c r="C37" s="76"/>
      <c r="D37" s="82"/>
      <c r="E37" s="82"/>
      <c r="F37" s="82"/>
      <c r="G37" s="82"/>
      <c r="H37" s="76"/>
      <c r="I37" s="76"/>
      <c r="J37" s="76"/>
      <c r="K37" s="82"/>
      <c r="L37" s="76"/>
      <c r="M37" s="76"/>
      <c r="N37" s="76"/>
      <c r="O37" s="76"/>
      <c r="P37" s="76"/>
      <c r="Q37" s="76"/>
    </row>
    <row r="38" spans="1:17" x14ac:dyDescent="0.2">
      <c r="A38" s="214" t="s">
        <v>244</v>
      </c>
      <c r="B38" s="216">
        <v>1</v>
      </c>
      <c r="C38" s="76"/>
      <c r="D38" s="82"/>
      <c r="E38" s="82"/>
      <c r="F38" s="82"/>
      <c r="G38" s="82"/>
      <c r="H38" s="76"/>
      <c r="I38" s="76"/>
      <c r="J38" s="76"/>
      <c r="K38" s="82"/>
      <c r="L38" s="76"/>
      <c r="M38" s="76"/>
      <c r="N38" s="76"/>
      <c r="O38" s="76"/>
      <c r="P38" s="76"/>
      <c r="Q38" s="76"/>
    </row>
    <row r="39" spans="1:17" x14ac:dyDescent="0.2">
      <c r="A39" s="214" t="s">
        <v>220</v>
      </c>
      <c r="B39" s="215">
        <v>0.9</v>
      </c>
      <c r="C39" s="76"/>
      <c r="D39" s="82"/>
      <c r="E39" s="82"/>
      <c r="F39" s="82"/>
      <c r="G39" s="82"/>
      <c r="H39" s="76"/>
      <c r="I39" s="76"/>
      <c r="J39" s="76"/>
      <c r="K39" s="82"/>
      <c r="L39" s="76"/>
      <c r="M39" s="76"/>
      <c r="N39" s="76"/>
      <c r="O39" s="76"/>
      <c r="P39" s="76"/>
      <c r="Q39" s="76"/>
    </row>
    <row r="40" spans="1:17" x14ac:dyDescent="0.2">
      <c r="A40" s="214"/>
      <c r="B40" s="247"/>
      <c r="C40" s="76"/>
      <c r="D40" s="82"/>
      <c r="E40" s="82"/>
      <c r="F40" s="82"/>
      <c r="G40" s="82"/>
      <c r="H40" s="76"/>
      <c r="I40" s="76"/>
      <c r="J40" s="76"/>
      <c r="K40" s="82"/>
      <c r="L40" s="76"/>
      <c r="M40" s="76"/>
      <c r="N40" s="76"/>
      <c r="O40" s="76"/>
      <c r="P40" s="76"/>
      <c r="Q40" s="76"/>
    </row>
    <row r="41" spans="1:17" x14ac:dyDescent="0.2">
      <c r="A41" s="214"/>
      <c r="B41" s="247"/>
      <c r="C41" s="76"/>
      <c r="D41" s="82"/>
      <c r="E41" s="82"/>
      <c r="F41" s="82"/>
      <c r="G41" s="82"/>
      <c r="H41" s="76"/>
      <c r="I41" s="76"/>
      <c r="J41" s="76"/>
      <c r="K41" s="82"/>
      <c r="L41" s="76"/>
      <c r="M41" s="76"/>
      <c r="N41" s="76"/>
      <c r="O41" s="76"/>
      <c r="P41" s="76"/>
      <c r="Q41" s="76"/>
    </row>
    <row r="42" spans="1:17" x14ac:dyDescent="0.2">
      <c r="A42" s="214"/>
      <c r="B42" s="247"/>
      <c r="C42" s="76"/>
      <c r="D42" s="82"/>
      <c r="E42" s="82"/>
      <c r="F42" s="82"/>
      <c r="G42" s="82"/>
      <c r="H42" s="76"/>
      <c r="I42" s="76"/>
      <c r="J42" s="76"/>
      <c r="K42" s="82"/>
      <c r="L42" s="76"/>
      <c r="M42" s="76"/>
      <c r="N42" s="76"/>
      <c r="O42" s="76"/>
      <c r="P42" s="76"/>
      <c r="Q42" s="76"/>
    </row>
    <row r="43" spans="1:17" ht="13.5" thickBot="1" x14ac:dyDescent="0.25">
      <c r="A43" s="213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</row>
    <row r="44" spans="1:17" x14ac:dyDescent="0.2">
      <c r="A44" s="221"/>
      <c r="B44" s="222" t="s">
        <v>95</v>
      </c>
      <c r="C44" s="222" t="s">
        <v>96</v>
      </c>
      <c r="D44" s="222" t="s">
        <v>97</v>
      </c>
      <c r="E44" s="222" t="s">
        <v>98</v>
      </c>
      <c r="F44" s="222" t="s">
        <v>99</v>
      </c>
      <c r="G44" s="222" t="s">
        <v>100</v>
      </c>
      <c r="H44" s="222" t="s">
        <v>101</v>
      </c>
      <c r="I44" s="222" t="s">
        <v>102</v>
      </c>
      <c r="J44" s="222" t="s">
        <v>103</v>
      </c>
      <c r="K44" s="222" t="s">
        <v>104</v>
      </c>
      <c r="L44" s="222" t="s">
        <v>105</v>
      </c>
      <c r="M44" s="222" t="s">
        <v>106</v>
      </c>
      <c r="N44" s="222" t="s">
        <v>107</v>
      </c>
      <c r="O44" s="222" t="s">
        <v>108</v>
      </c>
      <c r="P44" s="223" t="s">
        <v>109</v>
      </c>
      <c r="Q44" s="71"/>
    </row>
    <row r="45" spans="1:17" x14ac:dyDescent="0.2">
      <c r="A45" s="224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225"/>
      <c r="Q45" s="71"/>
    </row>
    <row r="46" spans="1:17" x14ac:dyDescent="0.2">
      <c r="A46" s="224" t="s">
        <v>146</v>
      </c>
      <c r="B46" s="47">
        <f>B29</f>
        <v>123000</v>
      </c>
      <c r="C46" s="47">
        <f>B46*(1+B47)</f>
        <v>125460</v>
      </c>
      <c r="D46" s="47">
        <f t="shared" ref="D46:P46" si="1">C46*(1+C47)</f>
        <v>127969.2</v>
      </c>
      <c r="E46" s="47">
        <f t="shared" si="1"/>
        <v>130528.584</v>
      </c>
      <c r="F46" s="47">
        <f t="shared" si="1"/>
        <v>133139.15568</v>
      </c>
      <c r="G46" s="47">
        <f t="shared" si="1"/>
        <v>135801.93879360001</v>
      </c>
      <c r="H46" s="47">
        <f t="shared" si="1"/>
        <v>138517.97756947202</v>
      </c>
      <c r="I46" s="47">
        <f t="shared" si="1"/>
        <v>141288.33712086146</v>
      </c>
      <c r="J46" s="47">
        <f t="shared" si="1"/>
        <v>144114.10386327869</v>
      </c>
      <c r="K46" s="47">
        <f t="shared" si="1"/>
        <v>146996.38594054428</v>
      </c>
      <c r="L46" s="47">
        <f t="shared" si="1"/>
        <v>149936.31365935516</v>
      </c>
      <c r="M46" s="47">
        <f t="shared" si="1"/>
        <v>152935.03993254228</v>
      </c>
      <c r="N46" s="47">
        <f t="shared" si="1"/>
        <v>155993.74073119313</v>
      </c>
      <c r="O46" s="47">
        <f t="shared" si="1"/>
        <v>159113.61554581701</v>
      </c>
      <c r="P46" s="226">
        <f t="shared" si="1"/>
        <v>162295.88785673334</v>
      </c>
      <c r="Q46" s="71"/>
    </row>
    <row r="47" spans="1:17" x14ac:dyDescent="0.2">
      <c r="A47" s="224" t="s">
        <v>218</v>
      </c>
      <c r="B47" s="186">
        <f>$B$31</f>
        <v>0.02</v>
      </c>
      <c r="C47" s="186">
        <f t="shared" ref="C47:P47" si="2">$B$31</f>
        <v>0.02</v>
      </c>
      <c r="D47" s="186">
        <f t="shared" si="2"/>
        <v>0.02</v>
      </c>
      <c r="E47" s="186">
        <f t="shared" si="2"/>
        <v>0.02</v>
      </c>
      <c r="F47" s="186">
        <f t="shared" si="2"/>
        <v>0.02</v>
      </c>
      <c r="G47" s="186">
        <f t="shared" si="2"/>
        <v>0.02</v>
      </c>
      <c r="H47" s="186">
        <f t="shared" si="2"/>
        <v>0.02</v>
      </c>
      <c r="I47" s="186">
        <f t="shared" si="2"/>
        <v>0.02</v>
      </c>
      <c r="J47" s="186">
        <f t="shared" si="2"/>
        <v>0.02</v>
      </c>
      <c r="K47" s="186">
        <f t="shared" si="2"/>
        <v>0.02</v>
      </c>
      <c r="L47" s="186">
        <f t="shared" si="2"/>
        <v>0.02</v>
      </c>
      <c r="M47" s="186">
        <f t="shared" si="2"/>
        <v>0.02</v>
      </c>
      <c r="N47" s="186">
        <f t="shared" si="2"/>
        <v>0.02</v>
      </c>
      <c r="O47" s="186">
        <f t="shared" si="2"/>
        <v>0.02</v>
      </c>
      <c r="P47" s="227">
        <f t="shared" si="2"/>
        <v>0.02</v>
      </c>
      <c r="Q47" s="71"/>
    </row>
    <row r="48" spans="1:17" x14ac:dyDescent="0.2">
      <c r="A48" s="224" t="s">
        <v>147</v>
      </c>
      <c r="B48" s="47">
        <f>B30</f>
        <v>96000</v>
      </c>
      <c r="C48" s="47">
        <f>B48*(1+B49)</f>
        <v>97920</v>
      </c>
      <c r="D48" s="47">
        <f t="shared" ref="D48:P48" si="3">C48*(1+C49)</f>
        <v>99878.400000000009</v>
      </c>
      <c r="E48" s="47">
        <f t="shared" si="3"/>
        <v>101875.96800000001</v>
      </c>
      <c r="F48" s="47">
        <f t="shared" si="3"/>
        <v>103913.48736000001</v>
      </c>
      <c r="G48" s="47">
        <f t="shared" si="3"/>
        <v>105991.75710720001</v>
      </c>
      <c r="H48" s="47">
        <f t="shared" si="3"/>
        <v>108111.59224934402</v>
      </c>
      <c r="I48" s="47">
        <f t="shared" si="3"/>
        <v>110273.82409433089</v>
      </c>
      <c r="J48" s="47">
        <f t="shared" si="3"/>
        <v>112479.30057621752</v>
      </c>
      <c r="K48" s="47">
        <f t="shared" si="3"/>
        <v>114728.88658774187</v>
      </c>
      <c r="L48" s="47">
        <f t="shared" si="3"/>
        <v>117023.46431949671</v>
      </c>
      <c r="M48" s="47">
        <f t="shared" si="3"/>
        <v>119363.93360588665</v>
      </c>
      <c r="N48" s="47">
        <f t="shared" si="3"/>
        <v>121751.21227800439</v>
      </c>
      <c r="O48" s="47">
        <f t="shared" si="3"/>
        <v>124186.23652356448</v>
      </c>
      <c r="P48" s="226">
        <f t="shared" si="3"/>
        <v>126669.96125403578</v>
      </c>
      <c r="Q48" s="71"/>
    </row>
    <row r="49" spans="1:22" x14ac:dyDescent="0.2">
      <c r="A49" s="224" t="s">
        <v>218</v>
      </c>
      <c r="B49" s="186">
        <f>$B$31</f>
        <v>0.02</v>
      </c>
      <c r="C49" s="186">
        <f t="shared" ref="C49:P49" si="4">$B$31</f>
        <v>0.02</v>
      </c>
      <c r="D49" s="186">
        <f t="shared" si="4"/>
        <v>0.02</v>
      </c>
      <c r="E49" s="186">
        <f t="shared" si="4"/>
        <v>0.02</v>
      </c>
      <c r="F49" s="186">
        <f t="shared" si="4"/>
        <v>0.02</v>
      </c>
      <c r="G49" s="186">
        <f t="shared" si="4"/>
        <v>0.02</v>
      </c>
      <c r="H49" s="186">
        <f t="shared" si="4"/>
        <v>0.02</v>
      </c>
      <c r="I49" s="186">
        <f t="shared" si="4"/>
        <v>0.02</v>
      </c>
      <c r="J49" s="186">
        <f t="shared" si="4"/>
        <v>0.02</v>
      </c>
      <c r="K49" s="186">
        <f t="shared" si="4"/>
        <v>0.02</v>
      </c>
      <c r="L49" s="186">
        <f t="shared" si="4"/>
        <v>0.02</v>
      </c>
      <c r="M49" s="186">
        <f t="shared" si="4"/>
        <v>0.02</v>
      </c>
      <c r="N49" s="186">
        <f t="shared" si="4"/>
        <v>0.02</v>
      </c>
      <c r="O49" s="186">
        <f t="shared" si="4"/>
        <v>0.02</v>
      </c>
      <c r="P49" s="227">
        <f t="shared" si="4"/>
        <v>0.02</v>
      </c>
      <c r="Q49" s="71"/>
    </row>
    <row r="50" spans="1:22" x14ac:dyDescent="0.2">
      <c r="A50" s="224" t="s">
        <v>165</v>
      </c>
      <c r="B50" s="147">
        <f>$B$22</f>
        <v>2.5000000000000001E-2</v>
      </c>
      <c r="C50" s="147">
        <f t="shared" ref="C50:P50" si="5">$B$22</f>
        <v>2.5000000000000001E-2</v>
      </c>
      <c r="D50" s="147">
        <f t="shared" si="5"/>
        <v>2.5000000000000001E-2</v>
      </c>
      <c r="E50" s="147">
        <f t="shared" si="5"/>
        <v>2.5000000000000001E-2</v>
      </c>
      <c r="F50" s="147">
        <f t="shared" si="5"/>
        <v>2.5000000000000001E-2</v>
      </c>
      <c r="G50" s="147">
        <f t="shared" si="5"/>
        <v>2.5000000000000001E-2</v>
      </c>
      <c r="H50" s="147">
        <f t="shared" si="5"/>
        <v>2.5000000000000001E-2</v>
      </c>
      <c r="I50" s="147">
        <f t="shared" si="5"/>
        <v>2.5000000000000001E-2</v>
      </c>
      <c r="J50" s="147">
        <f t="shared" si="5"/>
        <v>2.5000000000000001E-2</v>
      </c>
      <c r="K50" s="147">
        <f t="shared" si="5"/>
        <v>2.5000000000000001E-2</v>
      </c>
      <c r="L50" s="147">
        <f t="shared" si="5"/>
        <v>2.5000000000000001E-2</v>
      </c>
      <c r="M50" s="147">
        <f t="shared" si="5"/>
        <v>2.5000000000000001E-2</v>
      </c>
      <c r="N50" s="147">
        <f t="shared" si="5"/>
        <v>2.5000000000000001E-2</v>
      </c>
      <c r="O50" s="147">
        <f t="shared" si="5"/>
        <v>2.5000000000000001E-2</v>
      </c>
      <c r="P50" s="228">
        <f t="shared" si="5"/>
        <v>2.5000000000000001E-2</v>
      </c>
      <c r="Q50" s="71"/>
    </row>
    <row r="51" spans="1:22" x14ac:dyDescent="0.2">
      <c r="A51" s="224" t="s">
        <v>150</v>
      </c>
      <c r="B51" s="239">
        <f>$B$36</f>
        <v>2.5000000000000001E-2</v>
      </c>
      <c r="C51" s="239">
        <f t="shared" ref="C51:P51" si="6">$B$36</f>
        <v>2.5000000000000001E-2</v>
      </c>
      <c r="D51" s="239">
        <f t="shared" si="6"/>
        <v>2.5000000000000001E-2</v>
      </c>
      <c r="E51" s="239">
        <f t="shared" si="6"/>
        <v>2.5000000000000001E-2</v>
      </c>
      <c r="F51" s="239">
        <f t="shared" si="6"/>
        <v>2.5000000000000001E-2</v>
      </c>
      <c r="G51" s="239">
        <f t="shared" si="6"/>
        <v>2.5000000000000001E-2</v>
      </c>
      <c r="H51" s="239">
        <f t="shared" si="6"/>
        <v>2.5000000000000001E-2</v>
      </c>
      <c r="I51" s="239">
        <f t="shared" si="6"/>
        <v>2.5000000000000001E-2</v>
      </c>
      <c r="J51" s="239">
        <f t="shared" si="6"/>
        <v>2.5000000000000001E-2</v>
      </c>
      <c r="K51" s="239">
        <f t="shared" si="6"/>
        <v>2.5000000000000001E-2</v>
      </c>
      <c r="L51" s="239">
        <f t="shared" si="6"/>
        <v>2.5000000000000001E-2</v>
      </c>
      <c r="M51" s="239">
        <f t="shared" si="6"/>
        <v>2.5000000000000001E-2</v>
      </c>
      <c r="N51" s="239">
        <f t="shared" si="6"/>
        <v>2.5000000000000001E-2</v>
      </c>
      <c r="O51" s="239">
        <f t="shared" si="6"/>
        <v>2.5000000000000001E-2</v>
      </c>
      <c r="P51" s="240">
        <f t="shared" si="6"/>
        <v>2.5000000000000001E-2</v>
      </c>
      <c r="Q51" s="71"/>
    </row>
    <row r="52" spans="1:22" s="66" customFormat="1" x14ac:dyDescent="0.2">
      <c r="A52" s="229" t="s">
        <v>151</v>
      </c>
      <c r="B52" s="241">
        <f>$B$23</f>
        <v>0.06</v>
      </c>
      <c r="C52" s="241">
        <f t="shared" ref="C52:V52" si="7">$B$23</f>
        <v>0.06</v>
      </c>
      <c r="D52" s="241">
        <f t="shared" si="7"/>
        <v>0.06</v>
      </c>
      <c r="E52" s="241">
        <f t="shared" si="7"/>
        <v>0.06</v>
      </c>
      <c r="F52" s="241">
        <f t="shared" si="7"/>
        <v>0.06</v>
      </c>
      <c r="G52" s="241">
        <f t="shared" si="7"/>
        <v>0.06</v>
      </c>
      <c r="H52" s="241">
        <f t="shared" si="7"/>
        <v>0.06</v>
      </c>
      <c r="I52" s="241">
        <f t="shared" si="7"/>
        <v>0.06</v>
      </c>
      <c r="J52" s="241">
        <f t="shared" si="7"/>
        <v>0.06</v>
      </c>
      <c r="K52" s="241">
        <f t="shared" si="7"/>
        <v>0.06</v>
      </c>
      <c r="L52" s="241">
        <f t="shared" si="7"/>
        <v>0.06</v>
      </c>
      <c r="M52" s="241">
        <f t="shared" si="7"/>
        <v>0.06</v>
      </c>
      <c r="N52" s="241">
        <f t="shared" si="7"/>
        <v>0.06</v>
      </c>
      <c r="O52" s="241">
        <f t="shared" si="7"/>
        <v>0.06</v>
      </c>
      <c r="P52" s="242">
        <f t="shared" si="7"/>
        <v>0.06</v>
      </c>
      <c r="Q52" s="220">
        <f t="shared" si="7"/>
        <v>0.06</v>
      </c>
      <c r="R52" s="154">
        <f t="shared" si="7"/>
        <v>0.06</v>
      </c>
      <c r="S52" s="154">
        <f t="shared" si="7"/>
        <v>0.06</v>
      </c>
      <c r="T52" s="154">
        <f t="shared" si="7"/>
        <v>0.06</v>
      </c>
      <c r="U52" s="154">
        <f t="shared" si="7"/>
        <v>0.06</v>
      </c>
      <c r="V52" s="154">
        <f t="shared" si="7"/>
        <v>0.06</v>
      </c>
    </row>
    <row r="53" spans="1:22" s="66" customFormat="1" x14ac:dyDescent="0.2">
      <c r="A53" s="229" t="s">
        <v>152</v>
      </c>
      <c r="B53" s="176">
        <f>(52-$B$7)*7</f>
        <v>14</v>
      </c>
      <c r="C53" s="176">
        <f t="shared" ref="C53:P53" si="8">(52-$B$7)*7</f>
        <v>14</v>
      </c>
      <c r="D53" s="176">
        <f t="shared" si="8"/>
        <v>14</v>
      </c>
      <c r="E53" s="176">
        <f t="shared" si="8"/>
        <v>14</v>
      </c>
      <c r="F53" s="176">
        <f t="shared" si="8"/>
        <v>14</v>
      </c>
      <c r="G53" s="176">
        <f t="shared" si="8"/>
        <v>14</v>
      </c>
      <c r="H53" s="176">
        <f t="shared" si="8"/>
        <v>14</v>
      </c>
      <c r="I53" s="176">
        <f t="shared" si="8"/>
        <v>14</v>
      </c>
      <c r="J53" s="176">
        <f t="shared" si="8"/>
        <v>14</v>
      </c>
      <c r="K53" s="176">
        <f t="shared" si="8"/>
        <v>14</v>
      </c>
      <c r="L53" s="176">
        <f t="shared" si="8"/>
        <v>14</v>
      </c>
      <c r="M53" s="176">
        <f t="shared" si="8"/>
        <v>14</v>
      </c>
      <c r="N53" s="176">
        <f t="shared" si="8"/>
        <v>14</v>
      </c>
      <c r="O53" s="176">
        <f t="shared" si="8"/>
        <v>14</v>
      </c>
      <c r="P53" s="230">
        <f t="shared" si="8"/>
        <v>14</v>
      </c>
      <c r="Q53" s="197">
        <v>14</v>
      </c>
      <c r="R53" s="176">
        <v>14</v>
      </c>
      <c r="S53" s="176">
        <v>14</v>
      </c>
      <c r="T53" s="176">
        <v>14</v>
      </c>
      <c r="U53" s="176">
        <v>14</v>
      </c>
      <c r="V53" s="176">
        <v>14</v>
      </c>
    </row>
    <row r="54" spans="1:22" s="66" customFormat="1" x14ac:dyDescent="0.2">
      <c r="A54" s="229" t="s">
        <v>214</v>
      </c>
      <c r="B54" s="243">
        <f>$B$38</f>
        <v>1</v>
      </c>
      <c r="C54" s="243">
        <f t="shared" ref="C54:P54" si="9">$B$38</f>
        <v>1</v>
      </c>
      <c r="D54" s="243">
        <f t="shared" si="9"/>
        <v>1</v>
      </c>
      <c r="E54" s="243">
        <f t="shared" si="9"/>
        <v>1</v>
      </c>
      <c r="F54" s="243">
        <f t="shared" si="9"/>
        <v>1</v>
      </c>
      <c r="G54" s="243">
        <f t="shared" si="9"/>
        <v>1</v>
      </c>
      <c r="H54" s="243">
        <f t="shared" si="9"/>
        <v>1</v>
      </c>
      <c r="I54" s="243">
        <f t="shared" si="9"/>
        <v>1</v>
      </c>
      <c r="J54" s="243">
        <f t="shared" si="9"/>
        <v>1</v>
      </c>
      <c r="K54" s="243">
        <f t="shared" si="9"/>
        <v>1</v>
      </c>
      <c r="L54" s="243">
        <f t="shared" si="9"/>
        <v>1</v>
      </c>
      <c r="M54" s="243">
        <f t="shared" si="9"/>
        <v>1</v>
      </c>
      <c r="N54" s="243">
        <f t="shared" si="9"/>
        <v>1</v>
      </c>
      <c r="O54" s="243">
        <f t="shared" si="9"/>
        <v>1</v>
      </c>
      <c r="P54" s="244">
        <f t="shared" si="9"/>
        <v>1</v>
      </c>
      <c r="Q54" s="173"/>
    </row>
    <row r="55" spans="1:22" x14ac:dyDescent="0.2">
      <c r="A55" s="224" t="s">
        <v>153</v>
      </c>
      <c r="B55" s="245">
        <f>B18</f>
        <v>3.6400000000000002E-2</v>
      </c>
      <c r="C55" s="245">
        <f>$B$55</f>
        <v>3.6400000000000002E-2</v>
      </c>
      <c r="D55" s="245">
        <f t="shared" ref="D55:O55" si="10">$B$55</f>
        <v>3.6400000000000002E-2</v>
      </c>
      <c r="E55" s="245">
        <f t="shared" si="10"/>
        <v>3.6400000000000002E-2</v>
      </c>
      <c r="F55" s="245">
        <f t="shared" si="10"/>
        <v>3.6400000000000002E-2</v>
      </c>
      <c r="G55" s="245">
        <f t="shared" si="10"/>
        <v>3.6400000000000002E-2</v>
      </c>
      <c r="H55" s="245">
        <f t="shared" si="10"/>
        <v>3.6400000000000002E-2</v>
      </c>
      <c r="I55" s="245">
        <f t="shared" si="10"/>
        <v>3.6400000000000002E-2</v>
      </c>
      <c r="J55" s="245">
        <f t="shared" si="10"/>
        <v>3.6400000000000002E-2</v>
      </c>
      <c r="K55" s="245">
        <f t="shared" si="10"/>
        <v>3.6400000000000002E-2</v>
      </c>
      <c r="L55" s="245">
        <f t="shared" si="10"/>
        <v>3.6400000000000002E-2</v>
      </c>
      <c r="M55" s="245">
        <f t="shared" si="10"/>
        <v>3.6400000000000002E-2</v>
      </c>
      <c r="N55" s="245">
        <f t="shared" si="10"/>
        <v>3.6400000000000002E-2</v>
      </c>
      <c r="O55" s="245">
        <f t="shared" si="10"/>
        <v>3.6400000000000002E-2</v>
      </c>
      <c r="P55" s="246">
        <f>$B$55</f>
        <v>3.6400000000000002E-2</v>
      </c>
      <c r="Q55" s="71"/>
    </row>
    <row r="56" spans="1:22" x14ac:dyDescent="0.2">
      <c r="A56" s="231" t="s">
        <v>220</v>
      </c>
      <c r="B56" s="153">
        <f>$B$39</f>
        <v>0.9</v>
      </c>
      <c r="C56" s="153">
        <f t="shared" ref="C56:P56" si="11">$B$39</f>
        <v>0.9</v>
      </c>
      <c r="D56" s="153">
        <f t="shared" si="11"/>
        <v>0.9</v>
      </c>
      <c r="E56" s="153">
        <f t="shared" si="11"/>
        <v>0.9</v>
      </c>
      <c r="F56" s="153">
        <f t="shared" si="11"/>
        <v>0.9</v>
      </c>
      <c r="G56" s="153">
        <f t="shared" si="11"/>
        <v>0.9</v>
      </c>
      <c r="H56" s="153">
        <f t="shared" si="11"/>
        <v>0.9</v>
      </c>
      <c r="I56" s="153">
        <f t="shared" si="11"/>
        <v>0.9</v>
      </c>
      <c r="J56" s="153">
        <f t="shared" si="11"/>
        <v>0.9</v>
      </c>
      <c r="K56" s="153">
        <f t="shared" si="11"/>
        <v>0.9</v>
      </c>
      <c r="L56" s="153">
        <f t="shared" si="11"/>
        <v>0.9</v>
      </c>
      <c r="M56" s="153">
        <f t="shared" si="11"/>
        <v>0.9</v>
      </c>
      <c r="N56" s="153">
        <f t="shared" si="11"/>
        <v>0.9</v>
      </c>
      <c r="O56" s="153">
        <f t="shared" si="11"/>
        <v>0.9</v>
      </c>
      <c r="P56" s="232">
        <f t="shared" si="11"/>
        <v>0.9</v>
      </c>
      <c r="Q56" s="71"/>
    </row>
    <row r="57" spans="1:22" x14ac:dyDescent="0.2">
      <c r="A57" s="224" t="s">
        <v>170</v>
      </c>
      <c r="B57" s="138" t="s">
        <v>169</v>
      </c>
      <c r="C57" s="138" t="s">
        <v>169</v>
      </c>
      <c r="D57" s="138" t="s">
        <v>169</v>
      </c>
      <c r="E57" s="138" t="s">
        <v>169</v>
      </c>
      <c r="F57" s="138" t="s">
        <v>169</v>
      </c>
      <c r="G57" s="138" t="s">
        <v>169</v>
      </c>
      <c r="H57" s="138" t="s">
        <v>169</v>
      </c>
      <c r="I57" s="138" t="s">
        <v>169</v>
      </c>
      <c r="J57" s="138" t="s">
        <v>169</v>
      </c>
      <c r="K57" s="138" t="s">
        <v>169</v>
      </c>
      <c r="L57" s="138" t="s">
        <v>169</v>
      </c>
      <c r="M57" s="138" t="s">
        <v>169</v>
      </c>
      <c r="N57" s="138" t="s">
        <v>169</v>
      </c>
      <c r="O57" s="138" t="s">
        <v>169</v>
      </c>
      <c r="P57" s="225" t="s">
        <v>169</v>
      </c>
      <c r="Q57" s="71"/>
    </row>
    <row r="58" spans="1:22" x14ac:dyDescent="0.2">
      <c r="A58" s="224" t="s">
        <v>173</v>
      </c>
      <c r="B58" s="147">
        <f>$K$17</f>
        <v>7.0000000000000007E-2</v>
      </c>
      <c r="C58" s="147">
        <f t="shared" ref="C58:P58" si="12">$K$17</f>
        <v>7.0000000000000007E-2</v>
      </c>
      <c r="D58" s="147">
        <f t="shared" si="12"/>
        <v>7.0000000000000007E-2</v>
      </c>
      <c r="E58" s="147">
        <f t="shared" si="12"/>
        <v>7.0000000000000007E-2</v>
      </c>
      <c r="F58" s="147">
        <f t="shared" si="12"/>
        <v>7.0000000000000007E-2</v>
      </c>
      <c r="G58" s="147">
        <f t="shared" si="12"/>
        <v>7.0000000000000007E-2</v>
      </c>
      <c r="H58" s="147">
        <f t="shared" si="12"/>
        <v>7.0000000000000007E-2</v>
      </c>
      <c r="I58" s="147">
        <f t="shared" si="12"/>
        <v>7.0000000000000007E-2</v>
      </c>
      <c r="J58" s="147">
        <f t="shared" si="12"/>
        <v>7.0000000000000007E-2</v>
      </c>
      <c r="K58" s="147">
        <f t="shared" si="12"/>
        <v>7.0000000000000007E-2</v>
      </c>
      <c r="L58" s="147">
        <f t="shared" si="12"/>
        <v>7.0000000000000007E-2</v>
      </c>
      <c r="M58" s="147">
        <f t="shared" si="12"/>
        <v>7.0000000000000007E-2</v>
      </c>
      <c r="N58" s="147">
        <f t="shared" si="12"/>
        <v>7.0000000000000007E-2</v>
      </c>
      <c r="O58" s="147">
        <f t="shared" si="12"/>
        <v>7.0000000000000007E-2</v>
      </c>
      <c r="P58" s="228">
        <f t="shared" si="12"/>
        <v>7.0000000000000007E-2</v>
      </c>
      <c r="Q58" s="71"/>
    </row>
    <row r="59" spans="1:22" x14ac:dyDescent="0.2">
      <c r="A59" s="224" t="s">
        <v>230</v>
      </c>
      <c r="B59" s="147">
        <v>0.03</v>
      </c>
      <c r="C59" s="193">
        <f>B59*(1+B51)</f>
        <v>3.0749999999999996E-2</v>
      </c>
      <c r="D59" s="193">
        <f t="shared" ref="D59:P59" si="13">C59*(1+C51)</f>
        <v>3.1518749999999991E-2</v>
      </c>
      <c r="E59" s="193">
        <f t="shared" si="13"/>
        <v>3.2306718749999991E-2</v>
      </c>
      <c r="F59" s="193">
        <f t="shared" si="13"/>
        <v>3.3114386718749986E-2</v>
      </c>
      <c r="G59" s="193">
        <f t="shared" si="13"/>
        <v>3.3942246386718736E-2</v>
      </c>
      <c r="H59" s="193">
        <f t="shared" si="13"/>
        <v>3.4790802546386702E-2</v>
      </c>
      <c r="I59" s="193">
        <f t="shared" si="13"/>
        <v>3.5660572610046369E-2</v>
      </c>
      <c r="J59" s="193">
        <f t="shared" si="13"/>
        <v>3.6552086925297524E-2</v>
      </c>
      <c r="K59" s="193">
        <f t="shared" si="13"/>
        <v>3.7465889098429961E-2</v>
      </c>
      <c r="L59" s="193">
        <f t="shared" si="13"/>
        <v>3.8402536325890704E-2</v>
      </c>
      <c r="M59" s="193">
        <f t="shared" si="13"/>
        <v>3.9362599734037967E-2</v>
      </c>
      <c r="N59" s="193">
        <f t="shared" si="13"/>
        <v>4.034666472738891E-2</v>
      </c>
      <c r="O59" s="193">
        <f t="shared" si="13"/>
        <v>4.1355331345573627E-2</v>
      </c>
      <c r="P59" s="233">
        <f t="shared" si="13"/>
        <v>4.2389214629212961E-2</v>
      </c>
      <c r="Q59" s="71"/>
    </row>
    <row r="60" spans="1:22" x14ac:dyDescent="0.2">
      <c r="A60" s="224" t="s">
        <v>238</v>
      </c>
      <c r="B60" s="47">
        <v>3000</v>
      </c>
      <c r="C60" s="47">
        <f>B60*(1+B51)</f>
        <v>3074.9999999999995</v>
      </c>
      <c r="D60" s="47">
        <f t="shared" ref="D60:P60" si="14">C60*(1+C51)</f>
        <v>3151.8749999999991</v>
      </c>
      <c r="E60" s="47">
        <f t="shared" si="14"/>
        <v>3230.6718749999986</v>
      </c>
      <c r="F60" s="47">
        <f t="shared" si="14"/>
        <v>3311.4386718749984</v>
      </c>
      <c r="G60" s="47">
        <f t="shared" si="14"/>
        <v>3394.224638671873</v>
      </c>
      <c r="H60" s="47">
        <f t="shared" si="14"/>
        <v>3479.0802546386694</v>
      </c>
      <c r="I60" s="47">
        <f t="shared" si="14"/>
        <v>3566.0572610046361</v>
      </c>
      <c r="J60" s="47">
        <f t="shared" si="14"/>
        <v>3655.2086925297517</v>
      </c>
      <c r="K60" s="47">
        <f t="shared" si="14"/>
        <v>3746.5889098429952</v>
      </c>
      <c r="L60" s="47">
        <f t="shared" si="14"/>
        <v>3840.2536325890696</v>
      </c>
      <c r="M60" s="47">
        <f t="shared" si="14"/>
        <v>3936.2599734037958</v>
      </c>
      <c r="N60" s="47">
        <f t="shared" si="14"/>
        <v>4034.6664727388902</v>
      </c>
      <c r="O60" s="47">
        <f t="shared" si="14"/>
        <v>4135.5331345573622</v>
      </c>
      <c r="P60" s="226">
        <f t="shared" si="14"/>
        <v>4238.9214629212956</v>
      </c>
      <c r="Q60" s="71"/>
    </row>
    <row r="61" spans="1:22" x14ac:dyDescent="0.2">
      <c r="A61" s="234" t="s">
        <v>211</v>
      </c>
      <c r="B61" s="191">
        <f>IF(('Data Property 4'!C161-$B$32)&gt;16400,0,$B$66+$B$67)</f>
        <v>0</v>
      </c>
      <c r="C61" s="191">
        <f>IF(('Data Property 4'!D161-$B$32)&gt;16400,0,$B$66+$B$67)</f>
        <v>0</v>
      </c>
      <c r="D61" s="191">
        <f>IF(('Data Property 4'!E161-$B$32)&gt;16400,0,$B$66+$B$67)</f>
        <v>0</v>
      </c>
      <c r="E61" s="191">
        <f>IF(('Data Property 4'!F161-$B$32)&gt;16400,0,$B$66+$B$67)</f>
        <v>0</v>
      </c>
      <c r="F61" s="191">
        <f>IF(('Data Property 4'!G161-$B$32)&gt;16400,0,$B$66+$B$67)</f>
        <v>0</v>
      </c>
      <c r="G61" s="191">
        <f>IF(('Data Property 4'!H161-$B$32)&gt;16400,0,$B$66+$B$67)</f>
        <v>0</v>
      </c>
      <c r="H61" s="191">
        <f>IF(('Data Property 4'!I161-$B$32)&gt;16400,0,$B$66+$B$67)</f>
        <v>0</v>
      </c>
      <c r="I61" s="191">
        <f>IF(('Data Property 4'!J161-$B$32)&gt;16400,0,$B$66+$B$67)</f>
        <v>0</v>
      </c>
      <c r="J61" s="191">
        <f>IF(('Data Property 4'!K161-$B$32)&gt;16400,0,$B$66+$B$67)</f>
        <v>0</v>
      </c>
      <c r="K61" s="191">
        <f>IF(('Data Property 4'!L161-$B$32)&gt;16400,0,$B$66+$B$67)</f>
        <v>0</v>
      </c>
      <c r="L61" s="191">
        <f>IF(('Data Property 4'!M161-$B$32)&gt;16400,0,$B$66+$B$67)</f>
        <v>0</v>
      </c>
      <c r="M61" s="191">
        <f>IF(('Data Property 4'!N161-$B$32)&gt;16400,0,$B$66+$B$67)</f>
        <v>0</v>
      </c>
      <c r="N61" s="191">
        <f>IF(('Data Property 4'!O161-$B$32)&gt;16400,0,$B$66+$B$67)</f>
        <v>0</v>
      </c>
      <c r="O61" s="191">
        <f>IF(('Data Property 4'!P161-$B$32)&gt;16400,0,$B$66+$B$67)</f>
        <v>0</v>
      </c>
      <c r="P61" s="235">
        <f>IF(('Data Property 4'!Q161-$B$32)&gt;16400,0,$B$66+$B$67)</f>
        <v>0</v>
      </c>
      <c r="Q61" s="71"/>
    </row>
    <row r="62" spans="1:22" x14ac:dyDescent="0.2">
      <c r="A62" s="234" t="s">
        <v>225</v>
      </c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235"/>
      <c r="Q62" s="71"/>
    </row>
    <row r="63" spans="1:22" ht="13.5" thickBot="1" x14ac:dyDescent="0.25">
      <c r="A63" s="236" t="s">
        <v>239</v>
      </c>
      <c r="B63" s="237">
        <v>50</v>
      </c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8"/>
      <c r="Q63" s="198"/>
    </row>
    <row r="64" spans="1:22" hidden="1" x14ac:dyDescent="0.2">
      <c r="A64" s="199" t="s">
        <v>123</v>
      </c>
      <c r="B64" s="60">
        <v>52.25</v>
      </c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</row>
    <row r="65" spans="2:2" hidden="1" x14ac:dyDescent="0.2"/>
    <row r="66" spans="2:2" hidden="1" x14ac:dyDescent="0.2">
      <c r="B66" s="46">
        <f>IF(B32&gt;'Tax Table'!F2,('Input Property 4'!B3*'Input Property 4'!B34)*0.025,0)</f>
        <v>0</v>
      </c>
    </row>
    <row r="67" spans="2:2" hidden="1" x14ac:dyDescent="0.2">
      <c r="B67" s="46">
        <f>IF('Input Property 4'!B32&gt;'Tax Table'!F1,IF('Input Property 4'!B32&lt;'Tax Table'!F2,('Input Property 4'!B3*'Input Property 4'!B34)*0.04),0)</f>
        <v>0</v>
      </c>
    </row>
  </sheetData>
  <mergeCells count="3">
    <mergeCell ref="E16:F16"/>
    <mergeCell ref="D17:E17"/>
    <mergeCell ref="I17:J17"/>
  </mergeCells>
  <dataValidations count="3">
    <dataValidation type="list" showInputMessage="1" showErrorMessage="1" sqref="G18:G31" xr:uid="{00000000-0002-0000-0600-000000000000}">
      <formula1>$W$3:$W$7</formula1>
    </dataValidation>
    <dataValidation type="list" showInputMessage="1" showErrorMessage="1" sqref="G32" xr:uid="{00000000-0002-0000-0600-000001000000}">
      <formula1>$Y$11:$Y$16</formula1>
    </dataValidation>
    <dataValidation type="list" allowBlank="1" showInputMessage="1" showErrorMessage="1" sqref="B2" xr:uid="{00000000-0002-0000-0600-000002000000}">
      <formula1>$Y$3:$Y$10</formula1>
    </dataValidation>
  </dataValidations>
  <pageMargins left="0.75" right="0.75" top="1" bottom="1" header="0.5" footer="0.5"/>
  <pageSetup paperSize="9" scale="70" orientation="landscape" horizontalDpi="300" verticalDpi="300" r:id="rId1"/>
  <headerFooter alignWithMargins="0"/>
  <rowBreaks count="1" manualBreakCount="1">
    <brk id="63" max="16383" man="1"/>
  </rowBreaks>
  <colBreaks count="1" manualBreakCount="1">
    <brk id="16" max="1048575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37"/>
  <sheetViews>
    <sheetView topLeftCell="A183" zoomScale="85" zoomScaleNormal="85" workbookViewId="0">
      <selection activeCell="F228" sqref="F228"/>
    </sheetView>
  </sheetViews>
  <sheetFormatPr defaultColWidth="9.140625" defaultRowHeight="12.75" outlineLevelRow="1" x14ac:dyDescent="0.2"/>
  <cols>
    <col min="1" max="1" width="23.85546875" style="46" customWidth="1"/>
    <col min="2" max="2" width="13.85546875" style="46" customWidth="1"/>
    <col min="3" max="3" width="12.140625" style="341" bestFit="1" customWidth="1"/>
    <col min="4" max="17" width="12.140625" style="46" bestFit="1" customWidth="1"/>
    <col min="18" max="16384" width="9.140625" style="46"/>
  </cols>
  <sheetData>
    <row r="1" spans="1:17" x14ac:dyDescent="0.2">
      <c r="A1" s="76" t="s">
        <v>248</v>
      </c>
      <c r="B1" s="76"/>
      <c r="C1" s="282">
        <v>1</v>
      </c>
      <c r="D1" s="258">
        <v>2</v>
      </c>
      <c r="E1" s="258">
        <v>3</v>
      </c>
      <c r="F1" s="258">
        <v>4</v>
      </c>
      <c r="G1" s="258">
        <v>5</v>
      </c>
      <c r="H1" s="258">
        <v>6</v>
      </c>
      <c r="I1" s="258">
        <v>7</v>
      </c>
      <c r="J1" s="258">
        <v>8</v>
      </c>
      <c r="K1" s="258">
        <v>9</v>
      </c>
      <c r="L1" s="258">
        <v>10</v>
      </c>
      <c r="M1" s="258">
        <v>11</v>
      </c>
      <c r="N1" s="258">
        <v>12</v>
      </c>
      <c r="O1" s="258">
        <v>13</v>
      </c>
      <c r="P1" s="258">
        <v>14</v>
      </c>
      <c r="Q1" s="256">
        <v>15</v>
      </c>
    </row>
    <row r="2" spans="1:17" ht="15.75" x14ac:dyDescent="0.25">
      <c r="A2" s="120" t="s">
        <v>247</v>
      </c>
      <c r="B2" s="120"/>
      <c r="C2" s="283">
        <f>'Data Property 4'!C161</f>
        <v>43646</v>
      </c>
      <c r="D2" s="259">
        <f>'Data Property 4'!D161</f>
        <v>44012</v>
      </c>
      <c r="E2" s="259">
        <f>'Data Property 4'!E161</f>
        <v>44377</v>
      </c>
      <c r="F2" s="259">
        <f>'Data Property 4'!F161</f>
        <v>44742</v>
      </c>
      <c r="G2" s="259">
        <f>'Data Property 4'!G161</f>
        <v>45107</v>
      </c>
      <c r="H2" s="259">
        <f>'Data Property 4'!H161</f>
        <v>45473</v>
      </c>
      <c r="I2" s="259">
        <f>'Data Property 4'!I161</f>
        <v>45838</v>
      </c>
      <c r="J2" s="259">
        <f>'Data Property 4'!J161</f>
        <v>46203</v>
      </c>
      <c r="K2" s="259">
        <f>'Data Property 4'!K161</f>
        <v>46568</v>
      </c>
      <c r="L2" s="259">
        <f>'Data Property 4'!L161</f>
        <v>46934</v>
      </c>
      <c r="M2" s="259">
        <f>'Data Property 4'!M161</f>
        <v>47299</v>
      </c>
      <c r="N2" s="259">
        <f>'Data Property 4'!N161</f>
        <v>47664</v>
      </c>
      <c r="O2" s="259">
        <f>'Data Property 4'!O161</f>
        <v>48029</v>
      </c>
      <c r="P2" s="259">
        <f>'Data Property 4'!P161</f>
        <v>48395</v>
      </c>
      <c r="Q2" s="257">
        <f>'Data Property 4'!Q161</f>
        <v>48760</v>
      </c>
    </row>
    <row r="3" spans="1:17" x14ac:dyDescent="0.2">
      <c r="A3" s="73" t="s">
        <v>120</v>
      </c>
      <c r="B3" s="342"/>
      <c r="C3" s="28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</row>
    <row r="4" spans="1:17" x14ac:dyDescent="0.2">
      <c r="A4" s="83" t="str">
        <f>'Data Property 4'!$A$167</f>
        <v>Interest Loan 1</v>
      </c>
      <c r="B4" s="60"/>
      <c r="C4" s="285">
        <f>-'Data Property 4'!C167</f>
        <v>-13083.308843835617</v>
      </c>
      <c r="D4" s="84">
        <f>-'Data Property 4'!D167</f>
        <v>-27520.063430136994</v>
      </c>
      <c r="E4" s="84">
        <f>-'Data Property 4'!E167</f>
        <v>-27444.872000000003</v>
      </c>
      <c r="F4" s="84">
        <f>-'Data Property 4'!F167</f>
        <v>-27444.872000000003</v>
      </c>
      <c r="G4" s="84">
        <f>-'Data Property 4'!G167</f>
        <v>-27444.872000000003</v>
      </c>
      <c r="H4" s="84">
        <f>-'Data Property 4'!H167</f>
        <v>-27520.063430136994</v>
      </c>
      <c r="I4" s="84">
        <f>-'Data Property 4'!I167</f>
        <v>-27444.872000000003</v>
      </c>
      <c r="J4" s="84">
        <f>-'Data Property 4'!J167</f>
        <v>-27444.872000000003</v>
      </c>
      <c r="K4" s="84">
        <f>-'Data Property 4'!K167</f>
        <v>-27444.872000000003</v>
      </c>
      <c r="L4" s="84">
        <f>-'Data Property 4'!L167</f>
        <v>-27520.063430136994</v>
      </c>
      <c r="M4" s="84">
        <f>-'Data Property 4'!M167</f>
        <v>-27444.872000000003</v>
      </c>
      <c r="N4" s="84">
        <f>-'Data Property 4'!N167</f>
        <v>-27444.872000000003</v>
      </c>
      <c r="O4" s="84">
        <f>-'Data Property 4'!O167</f>
        <v>-27444.872000000003</v>
      </c>
      <c r="P4" s="84">
        <f>-'Data Property 4'!P167</f>
        <v>-27520.063430136994</v>
      </c>
      <c r="Q4" s="84">
        <f>-'Data Property 4'!Q167</f>
        <v>-27444.872000000003</v>
      </c>
    </row>
    <row r="5" spans="1:17" x14ac:dyDescent="0.2">
      <c r="A5" s="85" t="str">
        <f>'Data Property 4'!$A$168</f>
        <v>Interest Loan 2</v>
      </c>
      <c r="B5" s="60"/>
      <c r="C5" s="285">
        <f>-'Data Property 4'!C168</f>
        <v>0</v>
      </c>
      <c r="D5" s="84">
        <f>-'Data Property 4'!D168</f>
        <v>0</v>
      </c>
      <c r="E5" s="84">
        <f>-'Data Property 4'!E168</f>
        <v>0</v>
      </c>
      <c r="F5" s="84">
        <f>-'Data Property 4'!F168</f>
        <v>0</v>
      </c>
      <c r="G5" s="84">
        <f>-'Data Property 4'!G168</f>
        <v>0</v>
      </c>
      <c r="H5" s="84">
        <f>-'Data Property 4'!H168</f>
        <v>0</v>
      </c>
      <c r="I5" s="84">
        <f>-'Data Property 4'!I168</f>
        <v>0</v>
      </c>
      <c r="J5" s="84">
        <f>-'Data Property 4'!J168</f>
        <v>0</v>
      </c>
      <c r="K5" s="84">
        <f>-'Data Property 4'!K168</f>
        <v>0</v>
      </c>
      <c r="L5" s="84">
        <f>-'Data Property 4'!L168</f>
        <v>0</v>
      </c>
      <c r="M5" s="84">
        <f>-'Data Property 4'!M168</f>
        <v>0</v>
      </c>
      <c r="N5" s="84">
        <f>-'Data Property 4'!N168</f>
        <v>0</v>
      </c>
      <c r="O5" s="84">
        <f>-'Data Property 4'!O168</f>
        <v>0</v>
      </c>
      <c r="P5" s="84">
        <f>-'Data Property 4'!P168</f>
        <v>0</v>
      </c>
      <c r="Q5" s="84">
        <f>-'Data Property 4'!Q168</f>
        <v>0</v>
      </c>
    </row>
    <row r="6" spans="1:17" hidden="1" outlineLevel="1" x14ac:dyDescent="0.2">
      <c r="A6" s="85" t="str">
        <f>'Data Property 4'!$A$169</f>
        <v>Property Management</v>
      </c>
      <c r="B6" s="60"/>
      <c r="C6" s="285">
        <f>-'Data Property 4'!C169</f>
        <v>-880.00000000000011</v>
      </c>
      <c r="D6" s="84">
        <f>-'Data Property 4'!D169</f>
        <v>-1984.4</v>
      </c>
      <c r="E6" s="84">
        <f>-'Data Property 4'!E169</f>
        <v>-2028.2315625000003</v>
      </c>
      <c r="F6" s="84">
        <f>-'Data Property 4'!F169</f>
        <v>-2078.9373515625002</v>
      </c>
      <c r="G6" s="84">
        <f>-'Data Property 4'!G169</f>
        <v>-2130.9107853515625</v>
      </c>
      <c r="H6" s="84">
        <f>-'Data Property 4'!H169</f>
        <v>-2190.4063001562495</v>
      </c>
      <c r="I6" s="84">
        <f>-'Data Property 4'!I169</f>
        <v>-2238.7881438599848</v>
      </c>
      <c r="J6" s="84">
        <f>-'Data Property 4'!J169</f>
        <v>-2294.7578474564839</v>
      </c>
      <c r="K6" s="84">
        <f>-'Data Property 4'!K169</f>
        <v>-2352.1267936428962</v>
      </c>
      <c r="L6" s="84">
        <f>-'Data Property 4'!L169</f>
        <v>-2417.7987098186804</v>
      </c>
      <c r="M6" s="84">
        <f>-'Data Property 4'!M169</f>
        <v>-2471.2032125710671</v>
      </c>
      <c r="N6" s="84">
        <f>-'Data Property 4'!N169</f>
        <v>-2532.9832928853434</v>
      </c>
      <c r="O6" s="84">
        <f>-'Data Property 4'!O169</f>
        <v>-2596.3078752074771</v>
      </c>
      <c r="P6" s="84">
        <f>-'Data Property 4'!P169</f>
        <v>-2668.797382834352</v>
      </c>
      <c r="Q6" s="84">
        <f>-'Data Property 4'!Q169</f>
        <v>-2727.7459613898545</v>
      </c>
    </row>
    <row r="7" spans="1:17" hidden="1" outlineLevel="1" x14ac:dyDescent="0.2">
      <c r="A7" s="85" t="str">
        <f>'Data Property 4'!$A$170</f>
        <v>Letting Fee</v>
      </c>
      <c r="B7" s="60"/>
      <c r="C7" s="285">
        <f>-'Data Property 4'!C170</f>
        <v>-550</v>
      </c>
      <c r="D7" s="84">
        <f>-'Data Property 4'!D170</f>
        <v>-563.75</v>
      </c>
      <c r="E7" s="84">
        <f>-'Data Property 4'!E170</f>
        <v>-577.84375</v>
      </c>
      <c r="F7" s="84">
        <f>-'Data Property 4'!F170</f>
        <v>-592.28984374999993</v>
      </c>
      <c r="G7" s="84">
        <f>-'Data Property 4'!G170</f>
        <v>-607.09708984374993</v>
      </c>
      <c r="H7" s="84">
        <f>-'Data Property 4'!H170</f>
        <v>-622.27451708984358</v>
      </c>
      <c r="I7" s="84">
        <f>-'Data Property 4'!I170</f>
        <v>-637.8313800170896</v>
      </c>
      <c r="J7" s="84">
        <f>-'Data Property 4'!J170</f>
        <v>-653.77716451751678</v>
      </c>
      <c r="K7" s="84">
        <f>-'Data Property 4'!K170</f>
        <v>-670.12159363045464</v>
      </c>
      <c r="L7" s="84">
        <f>-'Data Property 4'!L170</f>
        <v>-686.87463347121593</v>
      </c>
      <c r="M7" s="84">
        <f>-'Data Property 4'!M170</f>
        <v>-704.04649930799621</v>
      </c>
      <c r="N7" s="84">
        <f>-'Data Property 4'!N170</f>
        <v>-721.64766179069602</v>
      </c>
      <c r="O7" s="84">
        <f>-'Data Property 4'!O170</f>
        <v>-739.68885333546336</v>
      </c>
      <c r="P7" s="84">
        <f>-'Data Property 4'!P170</f>
        <v>-758.18107466884987</v>
      </c>
      <c r="Q7" s="84">
        <f>-'Data Property 4'!Q170</f>
        <v>-777.13560153557103</v>
      </c>
    </row>
    <row r="8" spans="1:17" hidden="1" outlineLevel="1" x14ac:dyDescent="0.2">
      <c r="A8" s="85" t="str">
        <f>'Data Property 4'!$A$171</f>
        <v>Insurance</v>
      </c>
      <c r="B8" s="60"/>
      <c r="C8" s="285">
        <f>-'Data Property 4'!C171</f>
        <v>-762.73972602739718</v>
      </c>
      <c r="D8" s="84">
        <f>-'Data Property 4'!D171</f>
        <v>-1639.9999999999998</v>
      </c>
      <c r="E8" s="84">
        <f>-'Data Property 4'!E171</f>
        <v>-1680.9999999999995</v>
      </c>
      <c r="F8" s="84">
        <f>-'Data Property 4'!F171</f>
        <v>-1723.0249999999994</v>
      </c>
      <c r="G8" s="84">
        <f>-'Data Property 4'!G171</f>
        <v>-1766.1006249999994</v>
      </c>
      <c r="H8" s="84">
        <f>-'Data Property 4'!H171</f>
        <v>-1810.2531406249991</v>
      </c>
      <c r="I8" s="84">
        <f>-'Data Property 4'!I171</f>
        <v>-1855.5094691406239</v>
      </c>
      <c r="J8" s="84">
        <f>-'Data Property 4'!J171</f>
        <v>-1901.8972058691393</v>
      </c>
      <c r="K8" s="84">
        <f>-'Data Property 4'!K171</f>
        <v>-1949.4446360158677</v>
      </c>
      <c r="L8" s="84">
        <f>-'Data Property 4'!L171</f>
        <v>-1998.1807519162642</v>
      </c>
      <c r="M8" s="84">
        <f>-'Data Property 4'!M171</f>
        <v>-2048.1352707141705</v>
      </c>
      <c r="N8" s="84">
        <f>-'Data Property 4'!N171</f>
        <v>-2099.3386524820244</v>
      </c>
      <c r="O8" s="84">
        <f>-'Data Property 4'!O171</f>
        <v>-2151.8221187940749</v>
      </c>
      <c r="P8" s="84">
        <f>-'Data Property 4'!P171</f>
        <v>-2205.6176717639264</v>
      </c>
      <c r="Q8" s="84">
        <f>-'Data Property 4'!Q171</f>
        <v>-2260.7581135580244</v>
      </c>
    </row>
    <row r="9" spans="1:17" hidden="1" outlineLevel="1" x14ac:dyDescent="0.2">
      <c r="A9" s="85" t="str">
        <f>'Data Property 4'!$A$172</f>
        <v>Maintenance</v>
      </c>
      <c r="B9" s="60"/>
      <c r="C9" s="285">
        <f>-'Data Property 4'!C172</f>
        <v>-238.35616438356163</v>
      </c>
      <c r="D9" s="84">
        <f>-'Data Property 4'!D172</f>
        <v>-512.5</v>
      </c>
      <c r="E9" s="84">
        <f>-'Data Property 4'!E172</f>
        <v>-525.3125</v>
      </c>
      <c r="F9" s="84">
        <f>-'Data Property 4'!F172</f>
        <v>-538.4453125</v>
      </c>
      <c r="G9" s="84">
        <f>-'Data Property 4'!G172</f>
        <v>-551.90644531249995</v>
      </c>
      <c r="H9" s="84">
        <f>-'Data Property 4'!H172</f>
        <v>-565.70410644531239</v>
      </c>
      <c r="I9" s="84">
        <f>-'Data Property 4'!I172</f>
        <v>-579.84670910644513</v>
      </c>
      <c r="J9" s="84">
        <f>-'Data Property 4'!J172</f>
        <v>-594.34287683410616</v>
      </c>
      <c r="K9" s="84">
        <f>-'Data Property 4'!K172</f>
        <v>-609.20144875495873</v>
      </c>
      <c r="L9" s="84">
        <f>-'Data Property 4'!L172</f>
        <v>-624.43148497383265</v>
      </c>
      <c r="M9" s="84">
        <f>-'Data Property 4'!M172</f>
        <v>-640.04227209817839</v>
      </c>
      <c r="N9" s="84">
        <f>-'Data Property 4'!N172</f>
        <v>-656.04332890063279</v>
      </c>
      <c r="O9" s="84">
        <f>-'Data Property 4'!O172</f>
        <v>-672.4444121231486</v>
      </c>
      <c r="P9" s="84">
        <f>-'Data Property 4'!P172</f>
        <v>-689.25552242622723</v>
      </c>
      <c r="Q9" s="84">
        <f>-'Data Property 4'!Q172</f>
        <v>-706.48691048688283</v>
      </c>
    </row>
    <row r="10" spans="1:17" hidden="1" outlineLevel="1" x14ac:dyDescent="0.2">
      <c r="A10" s="85" t="str">
        <f>'Data Property 4'!$A$173</f>
        <v>Strata</v>
      </c>
      <c r="B10" s="60"/>
      <c r="C10" s="285">
        <f>-'Data Property 4'!C173</f>
        <v>0</v>
      </c>
      <c r="D10" s="84">
        <f>-'Data Property 4'!D173</f>
        <v>0</v>
      </c>
      <c r="E10" s="84">
        <f>-'Data Property 4'!E173</f>
        <v>0</v>
      </c>
      <c r="F10" s="84">
        <f>-'Data Property 4'!F173</f>
        <v>0</v>
      </c>
      <c r="G10" s="84">
        <f>-'Data Property 4'!G173</f>
        <v>0</v>
      </c>
      <c r="H10" s="84">
        <f>-'Data Property 4'!H173</f>
        <v>0</v>
      </c>
      <c r="I10" s="84">
        <f>-'Data Property 4'!I173</f>
        <v>0</v>
      </c>
      <c r="J10" s="84">
        <f>-'Data Property 4'!J173</f>
        <v>0</v>
      </c>
      <c r="K10" s="84">
        <f>-'Data Property 4'!K173</f>
        <v>0</v>
      </c>
      <c r="L10" s="84">
        <f>-'Data Property 4'!L173</f>
        <v>0</v>
      </c>
      <c r="M10" s="84">
        <f>-'Data Property 4'!M173</f>
        <v>0</v>
      </c>
      <c r="N10" s="84">
        <f>-'Data Property 4'!N173</f>
        <v>0</v>
      </c>
      <c r="O10" s="84">
        <f>-'Data Property 4'!O173</f>
        <v>0</v>
      </c>
      <c r="P10" s="84">
        <f>-'Data Property 4'!P173</f>
        <v>0</v>
      </c>
      <c r="Q10" s="84">
        <f>-'Data Property 4'!Q173</f>
        <v>0</v>
      </c>
    </row>
    <row r="11" spans="1:17" hidden="1" outlineLevel="1" x14ac:dyDescent="0.2">
      <c r="A11" s="85" t="str">
        <f>'Data Property 4'!$A$174</f>
        <v>Water Charges</v>
      </c>
      <c r="B11" s="60"/>
      <c r="C11" s="285">
        <f>-'Data Property 4'!C174</f>
        <v>0</v>
      </c>
      <c r="D11" s="84">
        <f>-'Data Property 4'!D174</f>
        <v>0</v>
      </c>
      <c r="E11" s="84">
        <f>-'Data Property 4'!E174</f>
        <v>0</v>
      </c>
      <c r="F11" s="84">
        <f>-'Data Property 4'!F174</f>
        <v>0</v>
      </c>
      <c r="G11" s="84">
        <f>-'Data Property 4'!G174</f>
        <v>0</v>
      </c>
      <c r="H11" s="84">
        <f>-'Data Property 4'!H174</f>
        <v>0</v>
      </c>
      <c r="I11" s="84">
        <f>-'Data Property 4'!I174</f>
        <v>0</v>
      </c>
      <c r="J11" s="84">
        <f>-'Data Property 4'!J174</f>
        <v>0</v>
      </c>
      <c r="K11" s="84">
        <f>-'Data Property 4'!K174</f>
        <v>0</v>
      </c>
      <c r="L11" s="84">
        <f>-'Data Property 4'!L174</f>
        <v>0</v>
      </c>
      <c r="M11" s="84">
        <f>-'Data Property 4'!M174</f>
        <v>0</v>
      </c>
      <c r="N11" s="84">
        <f>-'Data Property 4'!N174</f>
        <v>0</v>
      </c>
      <c r="O11" s="84">
        <f>-'Data Property 4'!O174</f>
        <v>0</v>
      </c>
      <c r="P11" s="84">
        <f>-'Data Property 4'!P174</f>
        <v>0</v>
      </c>
      <c r="Q11" s="84">
        <f>-'Data Property 4'!Q174</f>
        <v>0</v>
      </c>
    </row>
    <row r="12" spans="1:17" hidden="1" outlineLevel="1" x14ac:dyDescent="0.2">
      <c r="A12" s="85" t="str">
        <f>'Data Property 4'!$A$175</f>
        <v>Cleaning</v>
      </c>
      <c r="B12" s="60"/>
      <c r="C12" s="285">
        <f>-'Data Property 4'!C175</f>
        <v>0</v>
      </c>
      <c r="D12" s="84">
        <f>-'Data Property 4'!D175</f>
        <v>0</v>
      </c>
      <c r="E12" s="84">
        <f>-'Data Property 4'!E175</f>
        <v>0</v>
      </c>
      <c r="F12" s="84">
        <f>-'Data Property 4'!F175</f>
        <v>0</v>
      </c>
      <c r="G12" s="84">
        <f>-'Data Property 4'!G175</f>
        <v>0</v>
      </c>
      <c r="H12" s="84">
        <f>-'Data Property 4'!H175</f>
        <v>0</v>
      </c>
      <c r="I12" s="84">
        <f>-'Data Property 4'!I175</f>
        <v>0</v>
      </c>
      <c r="J12" s="84">
        <f>-'Data Property 4'!J175</f>
        <v>0</v>
      </c>
      <c r="K12" s="84">
        <f>-'Data Property 4'!K175</f>
        <v>0</v>
      </c>
      <c r="L12" s="84">
        <f>-'Data Property 4'!L175</f>
        <v>0</v>
      </c>
      <c r="M12" s="84">
        <f>-'Data Property 4'!M175</f>
        <v>0</v>
      </c>
      <c r="N12" s="84">
        <f>-'Data Property 4'!N175</f>
        <v>0</v>
      </c>
      <c r="O12" s="84">
        <f>-'Data Property 4'!O175</f>
        <v>0</v>
      </c>
      <c r="P12" s="84">
        <f>-'Data Property 4'!P175</f>
        <v>0</v>
      </c>
      <c r="Q12" s="84">
        <f>-'Data Property 4'!Q175</f>
        <v>0</v>
      </c>
    </row>
    <row r="13" spans="1:17" hidden="1" outlineLevel="1" x14ac:dyDescent="0.2">
      <c r="A13" s="85" t="str">
        <f>'Data Property 4'!$A$176</f>
        <v>Council Rates</v>
      </c>
      <c r="B13" s="60"/>
      <c r="C13" s="285">
        <f>-'Data Property 4'!C176</f>
        <v>-572.05479452054794</v>
      </c>
      <c r="D13" s="84">
        <f>-'Data Property 4'!D176</f>
        <v>-1230</v>
      </c>
      <c r="E13" s="84">
        <f>-'Data Property 4'!E176</f>
        <v>-1260.75</v>
      </c>
      <c r="F13" s="84">
        <f>-'Data Property 4'!F176</f>
        <v>-1292.26875</v>
      </c>
      <c r="G13" s="84">
        <f>-'Data Property 4'!G176</f>
        <v>-1324.57546875</v>
      </c>
      <c r="H13" s="84">
        <f>-'Data Property 4'!H176</f>
        <v>-1357.68985546875</v>
      </c>
      <c r="I13" s="84">
        <f>-'Data Property 4'!I176</f>
        <v>-1391.6321018554688</v>
      </c>
      <c r="J13" s="84">
        <f>-'Data Property 4'!J176</f>
        <v>-1426.4229044018555</v>
      </c>
      <c r="K13" s="84">
        <f>-'Data Property 4'!K176</f>
        <v>-1462.0834770119018</v>
      </c>
      <c r="L13" s="84">
        <f>-'Data Property 4'!L176</f>
        <v>-1498.6355639371993</v>
      </c>
      <c r="M13" s="84">
        <f>-'Data Property 4'!M176</f>
        <v>-1536.1014530356292</v>
      </c>
      <c r="N13" s="84">
        <f>-'Data Property 4'!N176</f>
        <v>-1574.5039893615199</v>
      </c>
      <c r="O13" s="84">
        <f>-'Data Property 4'!O176</f>
        <v>-1613.8665890955579</v>
      </c>
      <c r="P13" s="84">
        <f>-'Data Property 4'!P176</f>
        <v>-1654.2132538229469</v>
      </c>
      <c r="Q13" s="84">
        <f>-'Data Property 4'!Q176</f>
        <v>-1695.5685851685205</v>
      </c>
    </row>
    <row r="14" spans="1:17" hidden="1" outlineLevel="1" x14ac:dyDescent="0.2">
      <c r="A14" s="85" t="str">
        <f>'Data Property 4'!$A$177</f>
        <v>Gardening / Mowing</v>
      </c>
      <c r="B14" s="60"/>
      <c r="C14" s="285">
        <f>-'Data Property 4'!C177</f>
        <v>0</v>
      </c>
      <c r="D14" s="84">
        <f>-'Data Property 4'!D177</f>
        <v>0</v>
      </c>
      <c r="E14" s="84">
        <f>-'Data Property 4'!E177</f>
        <v>0</v>
      </c>
      <c r="F14" s="84">
        <f>-'Data Property 4'!F177</f>
        <v>0</v>
      </c>
      <c r="G14" s="84">
        <f>-'Data Property 4'!G177</f>
        <v>0</v>
      </c>
      <c r="H14" s="84">
        <f>-'Data Property 4'!H177</f>
        <v>0</v>
      </c>
      <c r="I14" s="84">
        <f>-'Data Property 4'!I177</f>
        <v>0</v>
      </c>
      <c r="J14" s="84">
        <f>-'Data Property 4'!J177</f>
        <v>0</v>
      </c>
      <c r="K14" s="84">
        <f>-'Data Property 4'!K177</f>
        <v>0</v>
      </c>
      <c r="L14" s="84">
        <f>-'Data Property 4'!L177</f>
        <v>0</v>
      </c>
      <c r="M14" s="84">
        <f>-'Data Property 4'!M177</f>
        <v>0</v>
      </c>
      <c r="N14" s="84">
        <f>-'Data Property 4'!N177</f>
        <v>0</v>
      </c>
      <c r="O14" s="84">
        <f>-'Data Property 4'!O177</f>
        <v>0</v>
      </c>
      <c r="P14" s="84">
        <f>-'Data Property 4'!P177</f>
        <v>0</v>
      </c>
      <c r="Q14" s="84">
        <f>-'Data Property 4'!Q177</f>
        <v>0</v>
      </c>
    </row>
    <row r="15" spans="1:17" hidden="1" outlineLevel="1" x14ac:dyDescent="0.2">
      <c r="A15" s="85" t="str">
        <f>'Data Property 4'!$A$178</f>
        <v>Land Tax</v>
      </c>
      <c r="B15" s="60"/>
      <c r="C15" s="285">
        <f>-'Data Property 4'!C178</f>
        <v>0</v>
      </c>
      <c r="D15" s="84">
        <f>-'Data Property 4'!D178</f>
        <v>0</v>
      </c>
      <c r="E15" s="84">
        <f>-'Data Property 4'!E178</f>
        <v>0</v>
      </c>
      <c r="F15" s="84">
        <f>-'Data Property 4'!F178</f>
        <v>0</v>
      </c>
      <c r="G15" s="84">
        <f>-'Data Property 4'!G178</f>
        <v>0</v>
      </c>
      <c r="H15" s="84">
        <f>-'Data Property 4'!H178</f>
        <v>0</v>
      </c>
      <c r="I15" s="84">
        <f>-'Data Property 4'!I178</f>
        <v>0</v>
      </c>
      <c r="J15" s="84">
        <f>-'Data Property 4'!J178</f>
        <v>0</v>
      </c>
      <c r="K15" s="84">
        <f>-'Data Property 4'!K178</f>
        <v>0</v>
      </c>
      <c r="L15" s="84">
        <f>-'Data Property 4'!L178</f>
        <v>0</v>
      </c>
      <c r="M15" s="84">
        <f>-'Data Property 4'!M178</f>
        <v>0</v>
      </c>
      <c r="N15" s="84">
        <f>-'Data Property 4'!N178</f>
        <v>0</v>
      </c>
      <c r="O15" s="84">
        <f>-'Data Property 4'!O178</f>
        <v>0</v>
      </c>
      <c r="P15" s="84">
        <f>-'Data Property 4'!P178</f>
        <v>0</v>
      </c>
      <c r="Q15" s="84">
        <f>-'Data Property 4'!Q178</f>
        <v>0</v>
      </c>
    </row>
    <row r="16" spans="1:17" hidden="1" outlineLevel="1" x14ac:dyDescent="0.2">
      <c r="A16" s="85" t="str">
        <f>'Data Property 4'!$A$179</f>
        <v>Legal Expenses</v>
      </c>
      <c r="B16" s="60"/>
      <c r="C16" s="285">
        <f>-'Data Property 4'!C179</f>
        <v>0</v>
      </c>
      <c r="D16" s="84">
        <f>-'Data Property 4'!D179</f>
        <v>0</v>
      </c>
      <c r="E16" s="84">
        <f>-'Data Property 4'!E179</f>
        <v>0</v>
      </c>
      <c r="F16" s="84">
        <f>-'Data Property 4'!F179</f>
        <v>0</v>
      </c>
      <c r="G16" s="84">
        <f>-'Data Property 4'!G179</f>
        <v>0</v>
      </c>
      <c r="H16" s="84">
        <f>-'Data Property 4'!H179</f>
        <v>0</v>
      </c>
      <c r="I16" s="84">
        <f>-'Data Property 4'!I179</f>
        <v>0</v>
      </c>
      <c r="J16" s="84">
        <f>-'Data Property 4'!J179</f>
        <v>0</v>
      </c>
      <c r="K16" s="84">
        <f>-'Data Property 4'!K179</f>
        <v>0</v>
      </c>
      <c r="L16" s="84">
        <f>-'Data Property 4'!L179</f>
        <v>0</v>
      </c>
      <c r="M16" s="84">
        <f>-'Data Property 4'!M179</f>
        <v>0</v>
      </c>
      <c r="N16" s="84">
        <f>-'Data Property 4'!N179</f>
        <v>0</v>
      </c>
      <c r="O16" s="84">
        <f>-'Data Property 4'!O179</f>
        <v>0</v>
      </c>
      <c r="P16" s="84">
        <f>-'Data Property 4'!P179</f>
        <v>0</v>
      </c>
      <c r="Q16" s="84">
        <f>-'Data Property 4'!Q179</f>
        <v>0</v>
      </c>
    </row>
    <row r="17" spans="1:17" hidden="1" outlineLevel="1" x14ac:dyDescent="0.2">
      <c r="A17" s="85" t="str">
        <f>'Data Property 4'!$A$180</f>
        <v>Pest Control</v>
      </c>
      <c r="B17" s="60"/>
      <c r="C17" s="285">
        <f>-'Data Property 4'!C180</f>
        <v>0</v>
      </c>
      <c r="D17" s="84">
        <f>-'Data Property 4'!D180</f>
        <v>0</v>
      </c>
      <c r="E17" s="84">
        <f>-'Data Property 4'!E180</f>
        <v>0</v>
      </c>
      <c r="F17" s="84">
        <f>-'Data Property 4'!F180</f>
        <v>0</v>
      </c>
      <c r="G17" s="84">
        <f>-'Data Property 4'!G180</f>
        <v>0</v>
      </c>
      <c r="H17" s="84">
        <f>-'Data Property 4'!H180</f>
        <v>0</v>
      </c>
      <c r="I17" s="84">
        <f>-'Data Property 4'!I180</f>
        <v>0</v>
      </c>
      <c r="J17" s="84">
        <f>-'Data Property 4'!J180</f>
        <v>0</v>
      </c>
      <c r="K17" s="84">
        <f>-'Data Property 4'!K180</f>
        <v>0</v>
      </c>
      <c r="L17" s="84">
        <f>-'Data Property 4'!L180</f>
        <v>0</v>
      </c>
      <c r="M17" s="84">
        <f>-'Data Property 4'!M180</f>
        <v>0</v>
      </c>
      <c r="N17" s="84">
        <f>-'Data Property 4'!N180</f>
        <v>0</v>
      </c>
      <c r="O17" s="84">
        <f>-'Data Property 4'!O180</f>
        <v>0</v>
      </c>
      <c r="P17" s="84">
        <f>-'Data Property 4'!P180</f>
        <v>0</v>
      </c>
      <c r="Q17" s="84">
        <f>-'Data Property 4'!Q180</f>
        <v>0</v>
      </c>
    </row>
    <row r="18" spans="1:17" hidden="1" outlineLevel="1" x14ac:dyDescent="0.2">
      <c r="A18" s="85" t="str">
        <f>'Data Property 4'!$A$181</f>
        <v>Bookkeeping</v>
      </c>
      <c r="B18" s="60"/>
      <c r="C18" s="285">
        <f>-'Data Property 4'!C181</f>
        <v>0</v>
      </c>
      <c r="D18" s="84">
        <f>-'Data Property 4'!D181</f>
        <v>0</v>
      </c>
      <c r="E18" s="84">
        <f>-'Data Property 4'!E181</f>
        <v>0</v>
      </c>
      <c r="F18" s="84">
        <f>-'Data Property 4'!F181</f>
        <v>0</v>
      </c>
      <c r="G18" s="84">
        <f>-'Data Property 4'!G181</f>
        <v>0</v>
      </c>
      <c r="H18" s="84">
        <f>-'Data Property 4'!H181</f>
        <v>0</v>
      </c>
      <c r="I18" s="84">
        <f>-'Data Property 4'!I181</f>
        <v>0</v>
      </c>
      <c r="J18" s="84">
        <f>-'Data Property 4'!J181</f>
        <v>0</v>
      </c>
      <c r="K18" s="84">
        <f>-'Data Property 4'!K181</f>
        <v>0</v>
      </c>
      <c r="L18" s="84">
        <f>-'Data Property 4'!L181</f>
        <v>0</v>
      </c>
      <c r="M18" s="84">
        <f>-'Data Property 4'!M181</f>
        <v>0</v>
      </c>
      <c r="N18" s="84">
        <f>-'Data Property 4'!N181</f>
        <v>0</v>
      </c>
      <c r="O18" s="84">
        <f>-'Data Property 4'!O181</f>
        <v>0</v>
      </c>
      <c r="P18" s="84">
        <f>-'Data Property 4'!P181</f>
        <v>0</v>
      </c>
      <c r="Q18" s="84">
        <f>-'Data Property 4'!Q181</f>
        <v>0</v>
      </c>
    </row>
    <row r="19" spans="1:17" hidden="1" outlineLevel="1" x14ac:dyDescent="0.2">
      <c r="A19" s="85" t="str">
        <f>'Data Property 4'!$A$182</f>
        <v>Postage and Stationery</v>
      </c>
      <c r="B19" s="60"/>
      <c r="C19" s="285">
        <f>-'Data Property 4'!C182</f>
        <v>0</v>
      </c>
      <c r="D19" s="84">
        <f>-'Data Property 4'!D182</f>
        <v>0</v>
      </c>
      <c r="E19" s="84">
        <f>-'Data Property 4'!E182</f>
        <v>0</v>
      </c>
      <c r="F19" s="84">
        <f>-'Data Property 4'!F182</f>
        <v>0</v>
      </c>
      <c r="G19" s="84">
        <f>-'Data Property 4'!G182</f>
        <v>0</v>
      </c>
      <c r="H19" s="84">
        <f>-'Data Property 4'!H182</f>
        <v>0</v>
      </c>
      <c r="I19" s="84">
        <f>-'Data Property 4'!I182</f>
        <v>0</v>
      </c>
      <c r="J19" s="84">
        <f>-'Data Property 4'!J182</f>
        <v>0</v>
      </c>
      <c r="K19" s="84">
        <f>-'Data Property 4'!K182</f>
        <v>0</v>
      </c>
      <c r="L19" s="84">
        <f>-'Data Property 4'!L182</f>
        <v>0</v>
      </c>
      <c r="M19" s="84">
        <f>-'Data Property 4'!M182</f>
        <v>0</v>
      </c>
      <c r="N19" s="84">
        <f>-'Data Property 4'!N182</f>
        <v>0</v>
      </c>
      <c r="O19" s="84">
        <f>-'Data Property 4'!O182</f>
        <v>0</v>
      </c>
      <c r="P19" s="84">
        <f>-'Data Property 4'!P182</f>
        <v>0</v>
      </c>
      <c r="Q19" s="84">
        <f>-'Data Property 4'!Q182</f>
        <v>0</v>
      </c>
    </row>
    <row r="20" spans="1:17" hidden="1" outlineLevel="1" x14ac:dyDescent="0.2">
      <c r="A20" s="85" t="str">
        <f>'Data Property 4'!$A$183</f>
        <v>Tax Related Expenses</v>
      </c>
      <c r="B20" s="60"/>
      <c r="C20" s="285">
        <f>-'Data Property 4'!C183</f>
        <v>-273.99041095890408</v>
      </c>
      <c r="D20" s="84">
        <f>-'Data Property 4'!D183</f>
        <v>-589.11874999999998</v>
      </c>
      <c r="E20" s="84">
        <f>-'Data Property 4'!E183</f>
        <v>-603.84671874999992</v>
      </c>
      <c r="F20" s="84">
        <f>-'Data Property 4'!F183</f>
        <v>-618.94288671874995</v>
      </c>
      <c r="G20" s="84">
        <f>-'Data Property 4'!G183</f>
        <v>-634.41645888671871</v>
      </c>
      <c r="H20" s="84">
        <f>-'Data Property 4'!H183</f>
        <v>-650.27687035888664</v>
      </c>
      <c r="I20" s="84">
        <f>-'Data Property 4'!I183</f>
        <v>-666.53379211785875</v>
      </c>
      <c r="J20" s="84">
        <f>-'Data Property 4'!J183</f>
        <v>-683.19713692080518</v>
      </c>
      <c r="K20" s="84">
        <f>-'Data Property 4'!K183</f>
        <v>-700.27706534382526</v>
      </c>
      <c r="L20" s="84">
        <f>-'Data Property 4'!L183</f>
        <v>-717.7839919774209</v>
      </c>
      <c r="M20" s="84">
        <f>-'Data Property 4'!M183</f>
        <v>-735.72859177685643</v>
      </c>
      <c r="N20" s="84">
        <f>-'Data Property 4'!N183</f>
        <v>-754.12180657127783</v>
      </c>
      <c r="O20" s="84">
        <f>-'Data Property 4'!O183</f>
        <v>-772.97485173555981</v>
      </c>
      <c r="P20" s="84">
        <f>-'Data Property 4'!P183</f>
        <v>-792.29922302894886</v>
      </c>
      <c r="Q20" s="84">
        <f>-'Data Property 4'!Q183</f>
        <v>-812.10670360467259</v>
      </c>
    </row>
    <row r="21" spans="1:17" hidden="1" outlineLevel="1" x14ac:dyDescent="0.2">
      <c r="A21" s="85" t="str">
        <f>'Data Property 4'!$A$184</f>
        <v>Travel and Car Expenses</v>
      </c>
      <c r="B21" s="60"/>
      <c r="C21" s="285">
        <f>-'Data Property 4'!C184</f>
        <v>0</v>
      </c>
      <c r="D21" s="84">
        <f>-'Data Property 4'!D184</f>
        <v>0</v>
      </c>
      <c r="E21" s="84">
        <f>-'Data Property 4'!E184</f>
        <v>0</v>
      </c>
      <c r="F21" s="84">
        <f>-'Data Property 4'!F184</f>
        <v>0</v>
      </c>
      <c r="G21" s="84">
        <f>-'Data Property 4'!G184</f>
        <v>0</v>
      </c>
      <c r="H21" s="84">
        <f>-'Data Property 4'!H184</f>
        <v>0</v>
      </c>
      <c r="I21" s="84">
        <f>-'Data Property 4'!I184</f>
        <v>0</v>
      </c>
      <c r="J21" s="84">
        <f>-'Data Property 4'!J184</f>
        <v>0</v>
      </c>
      <c r="K21" s="84">
        <f>-'Data Property 4'!K184</f>
        <v>0</v>
      </c>
      <c r="L21" s="84">
        <f>-'Data Property 4'!L184</f>
        <v>0</v>
      </c>
      <c r="M21" s="84">
        <f>-'Data Property 4'!M184</f>
        <v>0</v>
      </c>
      <c r="N21" s="84">
        <f>-'Data Property 4'!N184</f>
        <v>0</v>
      </c>
      <c r="O21" s="84">
        <f>-'Data Property 4'!O184</f>
        <v>0</v>
      </c>
      <c r="P21" s="84">
        <f>-'Data Property 4'!P184</f>
        <v>0</v>
      </c>
      <c r="Q21" s="84">
        <f>-'Data Property 4'!Q184</f>
        <v>0</v>
      </c>
    </row>
    <row r="22" spans="1:17" hidden="1" outlineLevel="1" x14ac:dyDescent="0.2">
      <c r="A22" s="85" t="str">
        <f>'Data Property 4'!$A$185</f>
        <v>Once Off Expenses</v>
      </c>
      <c r="B22" s="60"/>
      <c r="C22" s="285">
        <f>-'Data Property 4'!C185</f>
        <v>-50</v>
      </c>
      <c r="D22" s="84">
        <f>-'Data Property 4'!D185</f>
        <v>0</v>
      </c>
      <c r="E22" s="84">
        <f>-'Data Property 4'!E185</f>
        <v>0</v>
      </c>
      <c r="F22" s="84">
        <f>-'Data Property 4'!F185</f>
        <v>0</v>
      </c>
      <c r="G22" s="84">
        <f>-'Data Property 4'!G185</f>
        <v>0</v>
      </c>
      <c r="H22" s="84">
        <f>-'Data Property 4'!H185</f>
        <v>0</v>
      </c>
      <c r="I22" s="84">
        <f>-'Data Property 4'!I185</f>
        <v>0</v>
      </c>
      <c r="J22" s="84">
        <f>-'Data Property 4'!J185</f>
        <v>0</v>
      </c>
      <c r="K22" s="84">
        <f>-'Data Property 4'!K185</f>
        <v>0</v>
      </c>
      <c r="L22" s="84">
        <f>-'Data Property 4'!L185</f>
        <v>0</v>
      </c>
      <c r="M22" s="84">
        <f>-'Data Property 4'!M185</f>
        <v>0</v>
      </c>
      <c r="N22" s="84">
        <f>-'Data Property 4'!N185</f>
        <v>0</v>
      </c>
      <c r="O22" s="84">
        <f>-'Data Property 4'!O185</f>
        <v>0</v>
      </c>
      <c r="P22" s="84">
        <f>-'Data Property 4'!P185</f>
        <v>0</v>
      </c>
      <c r="Q22" s="84">
        <f>-'Data Property 4'!Q185</f>
        <v>0</v>
      </c>
    </row>
    <row r="23" spans="1:17" collapsed="1" x14ac:dyDescent="0.2">
      <c r="A23" s="85" t="str">
        <f>'Data Property 4'!$A$186</f>
        <v>Total Property Expenses</v>
      </c>
      <c r="B23" s="60"/>
      <c r="C23" s="285">
        <f>-'Data Property 4'!C186</f>
        <v>-3327.1410958904112</v>
      </c>
      <c r="D23" s="84">
        <f>-'Data Property 4'!D186</f>
        <v>-6519.7687499999993</v>
      </c>
      <c r="E23" s="84">
        <f>-'Data Property 4'!E186</f>
        <v>-6676.9845312499992</v>
      </c>
      <c r="F23" s="84">
        <f>-'Data Property 4'!F186</f>
        <v>-6843.9091445312497</v>
      </c>
      <c r="G23" s="84">
        <f>-'Data Property 4'!G186</f>
        <v>-7015.0068731445308</v>
      </c>
      <c r="H23" s="84">
        <f>-'Data Property 4'!H186</f>
        <v>-7196.6047901440415</v>
      </c>
      <c r="I23" s="84">
        <f>-'Data Property 4'!I186</f>
        <v>-7370.1415960974709</v>
      </c>
      <c r="J23" s="84">
        <f>-'Data Property 4'!J186</f>
        <v>-7554.3951359999064</v>
      </c>
      <c r="K23" s="84">
        <f>-'Data Property 4'!K186</f>
        <v>-7743.2550143999051</v>
      </c>
      <c r="L23" s="84">
        <f>-'Data Property 4'!L186</f>
        <v>-7943.7051360946134</v>
      </c>
      <c r="M23" s="84">
        <f>-'Data Property 4'!M186</f>
        <v>-8135.257299503899</v>
      </c>
      <c r="N23" s="84">
        <f>-'Data Property 4'!N186</f>
        <v>-8338.6387319914938</v>
      </c>
      <c r="O23" s="84">
        <f>-'Data Property 4'!O186</f>
        <v>-8547.1047002912819</v>
      </c>
      <c r="P23" s="84">
        <f>-'Data Property 4'!P186</f>
        <v>-8768.3641285452504</v>
      </c>
      <c r="Q23" s="84">
        <f>-'Data Property 4'!Q186</f>
        <v>-8979.8018757435257</v>
      </c>
    </row>
    <row r="24" spans="1:17" x14ac:dyDescent="0.2">
      <c r="A24" s="119"/>
      <c r="B24" s="82"/>
      <c r="C24" s="286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</row>
    <row r="25" spans="1:17" x14ac:dyDescent="0.2">
      <c r="A25" s="88" t="str">
        <f>'Data Property 4'!$A$187</f>
        <v>Total Costs</v>
      </c>
      <c r="B25" s="190"/>
      <c r="C25" s="287">
        <f>-'Data Property 4'!C187</f>
        <v>-16410.44993972603</v>
      </c>
      <c r="D25" s="89">
        <f>-'Data Property 4'!D187</f>
        <v>-34039.832180136989</v>
      </c>
      <c r="E25" s="89">
        <f>-'Data Property 4'!E187</f>
        <v>-34121.85653125</v>
      </c>
      <c r="F25" s="89">
        <f>-'Data Property 4'!F187</f>
        <v>-34288.781144531255</v>
      </c>
      <c r="G25" s="89">
        <f>-'Data Property 4'!G187</f>
        <v>-34459.878873144531</v>
      </c>
      <c r="H25" s="89">
        <f>-'Data Property 4'!H187</f>
        <v>-34716.668220281033</v>
      </c>
      <c r="I25" s="89">
        <f>-'Data Property 4'!I187</f>
        <v>-34815.013596097473</v>
      </c>
      <c r="J25" s="89">
        <f>-'Data Property 4'!J187</f>
        <v>-34999.267135999908</v>
      </c>
      <c r="K25" s="89">
        <f>-'Data Property 4'!K187</f>
        <v>-35188.127014399906</v>
      </c>
      <c r="L25" s="89">
        <f>-'Data Property 4'!L187</f>
        <v>-35463.768566231607</v>
      </c>
      <c r="M25" s="89">
        <f>-'Data Property 4'!M187</f>
        <v>-35580.129299503904</v>
      </c>
      <c r="N25" s="89">
        <f>-'Data Property 4'!N187</f>
        <v>-35783.510731991497</v>
      </c>
      <c r="O25" s="89">
        <f>-'Data Property 4'!O187</f>
        <v>-35991.976700291285</v>
      </c>
      <c r="P25" s="89">
        <f>-'Data Property 4'!P187</f>
        <v>-36288.427558682248</v>
      </c>
      <c r="Q25" s="89">
        <f>-'Data Property 4'!Q187</f>
        <v>-36424.673875743531</v>
      </c>
    </row>
    <row r="26" spans="1:17" x14ac:dyDescent="0.2">
      <c r="A26" s="82"/>
      <c r="B26" s="82"/>
      <c r="C26" s="288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17" x14ac:dyDescent="0.2">
      <c r="A27" s="73" t="s">
        <v>121</v>
      </c>
      <c r="B27" s="342"/>
      <c r="C27" s="28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1:17" hidden="1" outlineLevel="1" x14ac:dyDescent="0.2">
      <c r="A28" s="83" t="s">
        <v>43</v>
      </c>
      <c r="B28" s="60"/>
      <c r="C28" s="285">
        <f>-'Data Property 4'!C196</f>
        <v>-362</v>
      </c>
      <c r="D28" s="84">
        <f>-'Data Property 4'!D196</f>
        <v>-362</v>
      </c>
      <c r="E28" s="84">
        <f>-'Data Property 4'!E196</f>
        <v>-362</v>
      </c>
      <c r="F28" s="84">
        <f>-'Data Property 4'!F196</f>
        <v>-362</v>
      </c>
      <c r="G28" s="84">
        <f>-'Data Property 4'!G196</f>
        <v>-362</v>
      </c>
      <c r="H28" s="84">
        <f>-'Data Property 4'!H196</f>
        <v>0</v>
      </c>
      <c r="I28" s="84">
        <f>-'Data Property 4'!I196</f>
        <v>0</v>
      </c>
      <c r="J28" s="84">
        <f>-'Data Property 4'!J196</f>
        <v>0</v>
      </c>
      <c r="K28" s="84">
        <f>-'Data Property 4'!K196</f>
        <v>0</v>
      </c>
      <c r="L28" s="84">
        <f>-'Data Property 4'!L196</f>
        <v>0</v>
      </c>
      <c r="M28" s="84">
        <f>-'Data Property 4'!M196</f>
        <v>0</v>
      </c>
      <c r="N28" s="84">
        <f>-'Data Property 4'!N196</f>
        <v>0</v>
      </c>
      <c r="O28" s="84">
        <f>-'Data Property 4'!O196</f>
        <v>0</v>
      </c>
      <c r="P28" s="84">
        <f>-'Data Property 4'!P196</f>
        <v>0</v>
      </c>
      <c r="Q28" s="84">
        <f>-'Data Property 4'!Q196</f>
        <v>0</v>
      </c>
    </row>
    <row r="29" spans="1:17" hidden="1" outlineLevel="1" x14ac:dyDescent="0.2">
      <c r="A29" s="85" t="str">
        <f>'Data Property 4'!$A$197</f>
        <v>Depreciation - Buildings</v>
      </c>
      <c r="C29" s="290">
        <f>-'Data Property 4'!C197</f>
        <v>0</v>
      </c>
      <c r="D29" s="86">
        <f>-'Data Property 4'!D197</f>
        <v>0</v>
      </c>
      <c r="E29" s="86">
        <f>-'Data Property 4'!E197</f>
        <v>0</v>
      </c>
      <c r="F29" s="86">
        <f>-'Data Property 4'!F197</f>
        <v>0</v>
      </c>
      <c r="G29" s="86">
        <f>-'Data Property 4'!G197</f>
        <v>0</v>
      </c>
      <c r="H29" s="86">
        <f>-'Data Property 4'!H197</f>
        <v>0</v>
      </c>
      <c r="I29" s="86">
        <f>-'Data Property 4'!I197</f>
        <v>0</v>
      </c>
      <c r="J29" s="86">
        <f>-'Data Property 4'!J197</f>
        <v>0</v>
      </c>
      <c r="K29" s="86">
        <f>-'Data Property 4'!K197</f>
        <v>0</v>
      </c>
      <c r="L29" s="86">
        <f>-'Data Property 4'!L197</f>
        <v>0</v>
      </c>
      <c r="M29" s="86">
        <f>-'Data Property 4'!M197</f>
        <v>0</v>
      </c>
      <c r="N29" s="86">
        <f>-'Data Property 4'!N197</f>
        <v>0</v>
      </c>
      <c r="O29" s="86">
        <f>-'Data Property 4'!O197</f>
        <v>0</v>
      </c>
      <c r="P29" s="86">
        <f>-'Data Property 4'!P197</f>
        <v>0</v>
      </c>
      <c r="Q29" s="86">
        <f>-'Data Property 4'!Q197</f>
        <v>0</v>
      </c>
    </row>
    <row r="30" spans="1:17" hidden="1" outlineLevel="1" x14ac:dyDescent="0.2">
      <c r="A30" s="85" t="str">
        <f>'Data Property 4'!$A$198</f>
        <v xml:space="preserve">Depreciation - Fittings Diminishing Value </v>
      </c>
      <c r="B30" s="76"/>
      <c r="C30" s="291">
        <f>-'Data Property 4'!C198</f>
        <v>-1500</v>
      </c>
      <c r="D30" s="90">
        <f>-'Data Property 4'!D198</f>
        <v>-1050</v>
      </c>
      <c r="E30" s="90">
        <f>-'Data Property 4'!E198</f>
        <v>-735</v>
      </c>
      <c r="F30" s="90">
        <f>-'Data Property 4'!F198</f>
        <v>-514.5</v>
      </c>
      <c r="G30" s="90">
        <f>-'Data Property 4'!G198</f>
        <v>-360.15</v>
      </c>
      <c r="H30" s="90">
        <f>-'Data Property 4'!H198</f>
        <v>-252.10499999999999</v>
      </c>
      <c r="I30" s="90">
        <f>-'Data Property 4'!I198</f>
        <v>-176.4735</v>
      </c>
      <c r="J30" s="90">
        <f>-'Data Property 4'!J198</f>
        <v>-123.53144999999999</v>
      </c>
      <c r="K30" s="90">
        <f>-'Data Property 4'!K198</f>
        <v>-86.472014999999999</v>
      </c>
      <c r="L30" s="90">
        <f>-'Data Property 4'!L198</f>
        <v>-60.530410499999995</v>
      </c>
      <c r="M30" s="90">
        <f>-'Data Property 4'!M198</f>
        <v>-42.371287350000003</v>
      </c>
      <c r="N30" s="90">
        <f>-'Data Property 4'!N198</f>
        <v>-29.659901144999999</v>
      </c>
      <c r="O30" s="90">
        <f>-'Data Property 4'!O198</f>
        <v>-20.7619308015</v>
      </c>
      <c r="P30" s="90">
        <f>-'Data Property 4'!P198</f>
        <v>-14.533351561049999</v>
      </c>
      <c r="Q30" s="90">
        <f>-'Data Property 4'!Q198</f>
        <v>-10.173346092735001</v>
      </c>
    </row>
    <row r="31" spans="1:17" collapsed="1" x14ac:dyDescent="0.2">
      <c r="A31" s="88" t="str">
        <f>'Data Property 4'!$A$200</f>
        <v>Total Non-cash Deductions</v>
      </c>
      <c r="B31" s="190"/>
      <c r="C31" s="287">
        <f t="shared" ref="C31:Q31" si="0">SUM(C28:C30)</f>
        <v>-1862</v>
      </c>
      <c r="D31" s="89">
        <f t="shared" si="0"/>
        <v>-1412</v>
      </c>
      <c r="E31" s="89">
        <f t="shared" si="0"/>
        <v>-1097</v>
      </c>
      <c r="F31" s="89">
        <f t="shared" si="0"/>
        <v>-876.5</v>
      </c>
      <c r="G31" s="89">
        <f t="shared" si="0"/>
        <v>-722.15</v>
      </c>
      <c r="H31" s="89">
        <f t="shared" si="0"/>
        <v>-252.10499999999999</v>
      </c>
      <c r="I31" s="89">
        <f t="shared" si="0"/>
        <v>-176.4735</v>
      </c>
      <c r="J31" s="89">
        <f t="shared" si="0"/>
        <v>-123.53144999999999</v>
      </c>
      <c r="K31" s="89">
        <f t="shared" si="0"/>
        <v>-86.472014999999999</v>
      </c>
      <c r="L31" s="89">
        <f t="shared" si="0"/>
        <v>-60.530410499999995</v>
      </c>
      <c r="M31" s="89">
        <f t="shared" si="0"/>
        <v>-42.371287350000003</v>
      </c>
      <c r="N31" s="89">
        <f t="shared" si="0"/>
        <v>-29.659901144999999</v>
      </c>
      <c r="O31" s="89">
        <f t="shared" si="0"/>
        <v>-20.7619308015</v>
      </c>
      <c r="P31" s="89">
        <f t="shared" si="0"/>
        <v>-14.533351561049999</v>
      </c>
      <c r="Q31" s="89">
        <f t="shared" si="0"/>
        <v>-10.173346092735001</v>
      </c>
    </row>
    <row r="32" spans="1:17" x14ac:dyDescent="0.2">
      <c r="A32" s="60"/>
      <c r="B32" s="60"/>
      <c r="C32" s="292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</row>
    <row r="33" spans="1:17" x14ac:dyDescent="0.2">
      <c r="A33" s="73" t="s">
        <v>122</v>
      </c>
      <c r="B33" s="342"/>
      <c r="C33" s="28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1:17" hidden="1" outlineLevel="1" x14ac:dyDescent="0.2">
      <c r="A34" s="91" t="str">
        <f>'Data Property 4'!$A$163</f>
        <v>Rent Per Week</v>
      </c>
      <c r="B34" s="343"/>
      <c r="C34" s="293">
        <f>'Data Property 4'!C163</f>
        <v>550</v>
      </c>
      <c r="D34" s="92">
        <f>'Data Property 4'!D163</f>
        <v>563.75</v>
      </c>
      <c r="E34" s="92">
        <f>'Data Property 4'!E163</f>
        <v>577.84375</v>
      </c>
      <c r="F34" s="92">
        <f>'Data Property 4'!F163</f>
        <v>592.28984374999993</v>
      </c>
      <c r="G34" s="92">
        <f>'Data Property 4'!G163</f>
        <v>607.09708984374993</v>
      </c>
      <c r="H34" s="92">
        <f>'Data Property 4'!H163</f>
        <v>622.27451708984358</v>
      </c>
      <c r="I34" s="92">
        <f>'Data Property 4'!I163</f>
        <v>637.8313800170896</v>
      </c>
      <c r="J34" s="92">
        <f>'Data Property 4'!J163</f>
        <v>653.77716451751678</v>
      </c>
      <c r="K34" s="92">
        <f>'Data Property 4'!K163</f>
        <v>670.12159363045464</v>
      </c>
      <c r="L34" s="92">
        <f>'Data Property 4'!L163</f>
        <v>686.87463347121593</v>
      </c>
      <c r="M34" s="92">
        <f>'Data Property 4'!M163</f>
        <v>704.04649930799621</v>
      </c>
      <c r="N34" s="92">
        <f>'Data Property 4'!N163</f>
        <v>721.64766179069602</v>
      </c>
      <c r="O34" s="92">
        <f>'Data Property 4'!O163</f>
        <v>739.68885333546336</v>
      </c>
      <c r="P34" s="92">
        <f>'Data Property 4'!P163</f>
        <v>758.18107466884987</v>
      </c>
      <c r="Q34" s="92">
        <f>'Data Property 4'!Q163</f>
        <v>777.13560153557103</v>
      </c>
    </row>
    <row r="35" spans="1:17" hidden="1" outlineLevel="1" x14ac:dyDescent="0.2">
      <c r="A35" s="93" t="str">
        <f>'Data Property 4'!$A$164</f>
        <v>Weeks</v>
      </c>
      <c r="B35" s="344"/>
      <c r="C35" s="294">
        <f>'Input Property 4'!$B$7</f>
        <v>50</v>
      </c>
      <c r="D35" s="250">
        <f>'Input Property 4'!$B$7</f>
        <v>50</v>
      </c>
      <c r="E35" s="250">
        <f>'Input Property 4'!$B$7</f>
        <v>50</v>
      </c>
      <c r="F35" s="250">
        <f>'Input Property 4'!$B$7</f>
        <v>50</v>
      </c>
      <c r="G35" s="250">
        <f>'Input Property 4'!$B$7</f>
        <v>50</v>
      </c>
      <c r="H35" s="250">
        <f>'Input Property 4'!$B$7</f>
        <v>50</v>
      </c>
      <c r="I35" s="250">
        <f>'Input Property 4'!$B$7</f>
        <v>50</v>
      </c>
      <c r="J35" s="250">
        <f>'Input Property 4'!$B$7</f>
        <v>50</v>
      </c>
      <c r="K35" s="250">
        <f>'Input Property 4'!$B$7</f>
        <v>50</v>
      </c>
      <c r="L35" s="250">
        <f>'Input Property 4'!$B$7</f>
        <v>50</v>
      </c>
      <c r="M35" s="250">
        <f>'Input Property 4'!$B$7</f>
        <v>50</v>
      </c>
      <c r="N35" s="250">
        <f>'Input Property 4'!$B$7</f>
        <v>50</v>
      </c>
      <c r="O35" s="250">
        <f>'Input Property 4'!$B$7</f>
        <v>50</v>
      </c>
      <c r="P35" s="250">
        <f>'Input Property 4'!$B$7</f>
        <v>50</v>
      </c>
      <c r="Q35" s="250">
        <f>'Input Property 4'!$B$7</f>
        <v>50</v>
      </c>
    </row>
    <row r="36" spans="1:17" collapsed="1" x14ac:dyDescent="0.2">
      <c r="A36" s="94" t="str">
        <f>'Data Property 4'!$A$165</f>
        <v>Total Rent</v>
      </c>
      <c r="B36" s="345"/>
      <c r="C36" s="295">
        <f>'Data Property 4'!C165</f>
        <v>12571.428571428572</v>
      </c>
      <c r="D36" s="95">
        <f>'Data Property 4'!D165</f>
        <v>28348.571428571428</v>
      </c>
      <c r="E36" s="95">
        <f>'Data Property 4'!E165</f>
        <v>28974.736607142859</v>
      </c>
      <c r="F36" s="95">
        <f>'Data Property 4'!F165</f>
        <v>29699.105022321426</v>
      </c>
      <c r="G36" s="95">
        <f>'Data Property 4'!G165</f>
        <v>30441.582647879462</v>
      </c>
      <c r="H36" s="95">
        <f>'Data Property 4'!H165</f>
        <v>31291.518573660705</v>
      </c>
      <c r="I36" s="95">
        <f>'Data Property 4'!I165</f>
        <v>31982.68776942835</v>
      </c>
      <c r="J36" s="95">
        <f>'Data Property 4'!J165</f>
        <v>32782.254963664054</v>
      </c>
      <c r="K36" s="95">
        <f>'Data Property 4'!K165</f>
        <v>33601.811337755658</v>
      </c>
      <c r="L36" s="95">
        <f>'Data Property 4'!L165</f>
        <v>34539.981568838288</v>
      </c>
      <c r="M36" s="95">
        <f>'Data Property 4'!M165</f>
        <v>35302.903036729527</v>
      </c>
      <c r="N36" s="95">
        <f>'Data Property 4'!N165</f>
        <v>36185.475612647759</v>
      </c>
      <c r="O36" s="95">
        <f>'Data Property 4'!O165</f>
        <v>37090.112502963952</v>
      </c>
      <c r="P36" s="95">
        <f>'Data Property 4'!P165</f>
        <v>38125.676897633595</v>
      </c>
      <c r="Q36" s="95">
        <f>'Data Property 4'!Q165</f>
        <v>38967.799448426493</v>
      </c>
    </row>
    <row r="37" spans="1:17" x14ac:dyDescent="0.2">
      <c r="A37" s="60"/>
      <c r="B37" s="60"/>
      <c r="C37" s="198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x14ac:dyDescent="0.2">
      <c r="A38" s="73" t="s">
        <v>124</v>
      </c>
      <c r="B38" s="342"/>
      <c r="C38" s="289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1:17" hidden="1" outlineLevel="1" x14ac:dyDescent="0.2">
      <c r="A39" s="96" t="s">
        <v>125</v>
      </c>
      <c r="B39" s="346"/>
      <c r="C39" s="296">
        <f t="shared" ref="C39:Q39" si="1">C25</f>
        <v>-16410.44993972603</v>
      </c>
      <c r="D39" s="97">
        <f t="shared" si="1"/>
        <v>-34039.832180136989</v>
      </c>
      <c r="E39" s="97">
        <f t="shared" si="1"/>
        <v>-34121.85653125</v>
      </c>
      <c r="F39" s="97">
        <f t="shared" si="1"/>
        <v>-34288.781144531255</v>
      </c>
      <c r="G39" s="97">
        <f t="shared" si="1"/>
        <v>-34459.878873144531</v>
      </c>
      <c r="H39" s="97">
        <f t="shared" si="1"/>
        <v>-34716.668220281033</v>
      </c>
      <c r="I39" s="97">
        <f t="shared" si="1"/>
        <v>-34815.013596097473</v>
      </c>
      <c r="J39" s="97">
        <f t="shared" si="1"/>
        <v>-34999.267135999908</v>
      </c>
      <c r="K39" s="97">
        <f t="shared" si="1"/>
        <v>-35188.127014399906</v>
      </c>
      <c r="L39" s="97">
        <f t="shared" si="1"/>
        <v>-35463.768566231607</v>
      </c>
      <c r="M39" s="97">
        <f t="shared" si="1"/>
        <v>-35580.129299503904</v>
      </c>
      <c r="N39" s="97">
        <f t="shared" si="1"/>
        <v>-35783.510731991497</v>
      </c>
      <c r="O39" s="97">
        <f t="shared" si="1"/>
        <v>-35991.976700291285</v>
      </c>
      <c r="P39" s="97">
        <f t="shared" si="1"/>
        <v>-36288.427558682248</v>
      </c>
      <c r="Q39" s="97">
        <f t="shared" si="1"/>
        <v>-36424.673875743531</v>
      </c>
    </row>
    <row r="40" spans="1:17" hidden="1" outlineLevel="1" x14ac:dyDescent="0.2">
      <c r="A40" s="98" t="s">
        <v>126</v>
      </c>
      <c r="B40" s="347"/>
      <c r="C40" s="297">
        <f t="shared" ref="C40:Q40" si="2">C36</f>
        <v>12571.428571428572</v>
      </c>
      <c r="D40" s="99">
        <f t="shared" si="2"/>
        <v>28348.571428571428</v>
      </c>
      <c r="E40" s="99">
        <f t="shared" si="2"/>
        <v>28974.736607142859</v>
      </c>
      <c r="F40" s="99">
        <f t="shared" si="2"/>
        <v>29699.105022321426</v>
      </c>
      <c r="G40" s="99">
        <f t="shared" si="2"/>
        <v>30441.582647879462</v>
      </c>
      <c r="H40" s="99">
        <f t="shared" si="2"/>
        <v>31291.518573660705</v>
      </c>
      <c r="I40" s="99">
        <f t="shared" si="2"/>
        <v>31982.68776942835</v>
      </c>
      <c r="J40" s="99">
        <f t="shared" si="2"/>
        <v>32782.254963664054</v>
      </c>
      <c r="K40" s="99">
        <f t="shared" si="2"/>
        <v>33601.811337755658</v>
      </c>
      <c r="L40" s="99">
        <f t="shared" si="2"/>
        <v>34539.981568838288</v>
      </c>
      <c r="M40" s="99">
        <f t="shared" si="2"/>
        <v>35302.903036729527</v>
      </c>
      <c r="N40" s="99">
        <f t="shared" si="2"/>
        <v>36185.475612647759</v>
      </c>
      <c r="O40" s="99">
        <f t="shared" si="2"/>
        <v>37090.112502963952</v>
      </c>
      <c r="P40" s="99">
        <f t="shared" si="2"/>
        <v>38125.676897633595</v>
      </c>
      <c r="Q40" s="99">
        <f t="shared" si="2"/>
        <v>38967.799448426493</v>
      </c>
    </row>
    <row r="41" spans="1:17" hidden="1" outlineLevel="1" x14ac:dyDescent="0.2">
      <c r="A41" s="98" t="s">
        <v>127</v>
      </c>
      <c r="B41" s="346"/>
      <c r="C41" s="296">
        <f t="shared" ref="C41:Q41" si="3">C39+C40</f>
        <v>-3839.0213682974572</v>
      </c>
      <c r="D41" s="97">
        <f t="shared" si="3"/>
        <v>-5691.2607515655618</v>
      </c>
      <c r="E41" s="97">
        <f t="shared" si="3"/>
        <v>-5147.1199241071408</v>
      </c>
      <c r="F41" s="97">
        <f t="shared" si="3"/>
        <v>-4589.6761222098285</v>
      </c>
      <c r="G41" s="97">
        <f t="shared" si="3"/>
        <v>-4018.2962252650686</v>
      </c>
      <c r="H41" s="97">
        <f t="shared" si="3"/>
        <v>-3425.149646620328</v>
      </c>
      <c r="I41" s="97">
        <f t="shared" si="3"/>
        <v>-2832.3258266691228</v>
      </c>
      <c r="J41" s="97">
        <f t="shared" si="3"/>
        <v>-2217.0121723358534</v>
      </c>
      <c r="K41" s="97">
        <f t="shared" si="3"/>
        <v>-1586.315676644248</v>
      </c>
      <c r="L41" s="97">
        <f t="shared" si="3"/>
        <v>-923.78699739331933</v>
      </c>
      <c r="M41" s="97">
        <f t="shared" si="3"/>
        <v>-277.22626277437666</v>
      </c>
      <c r="N41" s="97">
        <f t="shared" si="3"/>
        <v>401.96488065626181</v>
      </c>
      <c r="O41" s="97">
        <f t="shared" si="3"/>
        <v>1098.1358026726666</v>
      </c>
      <c r="P41" s="97">
        <f t="shared" si="3"/>
        <v>1837.2493389513475</v>
      </c>
      <c r="Q41" s="97">
        <f t="shared" si="3"/>
        <v>2543.1255726829622</v>
      </c>
    </row>
    <row r="42" spans="1:17" hidden="1" outlineLevel="1" x14ac:dyDescent="0.2">
      <c r="A42" s="98" t="s">
        <v>128</v>
      </c>
      <c r="B42" s="348"/>
      <c r="C42" s="298">
        <f t="shared" ref="C42:Q42" si="4">C31</f>
        <v>-1862</v>
      </c>
      <c r="D42" s="100">
        <f t="shared" si="4"/>
        <v>-1412</v>
      </c>
      <c r="E42" s="100">
        <f t="shared" si="4"/>
        <v>-1097</v>
      </c>
      <c r="F42" s="100">
        <f t="shared" si="4"/>
        <v>-876.5</v>
      </c>
      <c r="G42" s="100">
        <f t="shared" si="4"/>
        <v>-722.15</v>
      </c>
      <c r="H42" s="100">
        <f t="shared" si="4"/>
        <v>-252.10499999999999</v>
      </c>
      <c r="I42" s="100">
        <f t="shared" si="4"/>
        <v>-176.4735</v>
      </c>
      <c r="J42" s="100">
        <f t="shared" si="4"/>
        <v>-123.53144999999999</v>
      </c>
      <c r="K42" s="100">
        <f t="shared" si="4"/>
        <v>-86.472014999999999</v>
      </c>
      <c r="L42" s="100">
        <f t="shared" si="4"/>
        <v>-60.530410499999995</v>
      </c>
      <c r="M42" s="100">
        <f t="shared" si="4"/>
        <v>-42.371287350000003</v>
      </c>
      <c r="N42" s="100">
        <f t="shared" si="4"/>
        <v>-29.659901144999999</v>
      </c>
      <c r="O42" s="100">
        <f t="shared" si="4"/>
        <v>-20.7619308015</v>
      </c>
      <c r="P42" s="100">
        <f t="shared" si="4"/>
        <v>-14.533351561049999</v>
      </c>
      <c r="Q42" s="100">
        <f t="shared" si="4"/>
        <v>-10.173346092735001</v>
      </c>
    </row>
    <row r="43" spans="1:17" hidden="1" outlineLevel="1" x14ac:dyDescent="0.2">
      <c r="A43" s="98"/>
      <c r="B43" s="347"/>
      <c r="C43" s="299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1:17" collapsed="1" x14ac:dyDescent="0.2">
      <c r="A44" s="102" t="s">
        <v>129</v>
      </c>
      <c r="B44" s="349"/>
      <c r="C44" s="300">
        <f t="shared" ref="C44:Q44" si="5">C41+C42</f>
        <v>-5701.0213682974572</v>
      </c>
      <c r="D44" s="103">
        <f t="shared" si="5"/>
        <v>-7103.2607515655618</v>
      </c>
      <c r="E44" s="103">
        <f t="shared" si="5"/>
        <v>-6244.1199241071408</v>
      </c>
      <c r="F44" s="103">
        <f t="shared" si="5"/>
        <v>-5466.1761222098285</v>
      </c>
      <c r="G44" s="103">
        <f t="shared" si="5"/>
        <v>-4740.4462252650683</v>
      </c>
      <c r="H44" s="103">
        <f t="shared" si="5"/>
        <v>-3677.254646620328</v>
      </c>
      <c r="I44" s="103">
        <f t="shared" si="5"/>
        <v>-3008.7993266691228</v>
      </c>
      <c r="J44" s="103">
        <f t="shared" si="5"/>
        <v>-2340.5436223358533</v>
      </c>
      <c r="K44" s="103">
        <f t="shared" si="5"/>
        <v>-1672.7876916442481</v>
      </c>
      <c r="L44" s="103">
        <f t="shared" si="5"/>
        <v>-984.31740789331934</v>
      </c>
      <c r="M44" s="103">
        <f t="shared" si="5"/>
        <v>-319.59755012437665</v>
      </c>
      <c r="N44" s="103">
        <f t="shared" si="5"/>
        <v>372.30497951126182</v>
      </c>
      <c r="O44" s="103">
        <f t="shared" si="5"/>
        <v>1077.3738718711666</v>
      </c>
      <c r="P44" s="103">
        <f t="shared" si="5"/>
        <v>1822.7159873902974</v>
      </c>
      <c r="Q44" s="103">
        <f t="shared" si="5"/>
        <v>2532.9522265902274</v>
      </c>
    </row>
    <row r="45" spans="1:17" x14ac:dyDescent="0.2">
      <c r="A45" s="82"/>
      <c r="B45" s="82"/>
      <c r="C45" s="301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1:17" x14ac:dyDescent="0.2">
      <c r="A46" s="104" t="s">
        <v>50</v>
      </c>
      <c r="B46" s="350"/>
      <c r="C46" s="289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1:17" hidden="1" outlineLevel="1" x14ac:dyDescent="0.2">
      <c r="A47" s="105" t="s">
        <v>137</v>
      </c>
      <c r="B47" s="70"/>
      <c r="C47" s="302">
        <f>'Data Property 4'!C206</f>
        <v>123000</v>
      </c>
      <c r="D47" s="106">
        <f>'Data Property 4'!D206</f>
        <v>125460</v>
      </c>
      <c r="E47" s="106">
        <f>'Data Property 4'!E206</f>
        <v>127969.2</v>
      </c>
      <c r="F47" s="106">
        <f>'Data Property 4'!F206</f>
        <v>130528.584</v>
      </c>
      <c r="G47" s="106">
        <f>'Data Property 4'!G206</f>
        <v>133139.15568</v>
      </c>
      <c r="H47" s="106">
        <f>'Data Property 4'!H206</f>
        <v>135801.93879360001</v>
      </c>
      <c r="I47" s="106">
        <f>'Data Property 4'!I206</f>
        <v>138517.97756947202</v>
      </c>
      <c r="J47" s="106">
        <f>'Data Property 4'!J206</f>
        <v>141288.33712086146</v>
      </c>
      <c r="K47" s="106">
        <f>'Data Property 4'!K206</f>
        <v>144114.10386327869</v>
      </c>
      <c r="L47" s="106">
        <f>'Data Property 4'!L206</f>
        <v>146996.38594054428</v>
      </c>
      <c r="M47" s="106">
        <f>'Data Property 4'!M206</f>
        <v>149936.31365935516</v>
      </c>
      <c r="N47" s="106">
        <f>'Data Property 4'!N206</f>
        <v>152935.03993254228</v>
      </c>
      <c r="O47" s="106">
        <f>'Data Property 4'!O206</f>
        <v>155993.74073119313</v>
      </c>
      <c r="P47" s="106">
        <f>'Data Property 4'!P206</f>
        <v>159113.61554581701</v>
      </c>
      <c r="Q47" s="106">
        <f>'Data Property 4'!Q206</f>
        <v>162295.88785673334</v>
      </c>
    </row>
    <row r="48" spans="1:17" hidden="1" outlineLevel="1" x14ac:dyDescent="0.2">
      <c r="A48" s="107" t="s">
        <v>35</v>
      </c>
      <c r="B48" s="189"/>
      <c r="C48" s="303">
        <f>-'Data Property 4'!C207</f>
        <v>-33456.114999999998</v>
      </c>
      <c r="D48" s="108">
        <f>-'Data Property 4'!D207</f>
        <v>-34366.315000000002</v>
      </c>
      <c r="E48" s="108">
        <f>-'Data Property 4'!E207</f>
        <v>-35294.718999999997</v>
      </c>
      <c r="F48" s="108">
        <f>-'Data Property 4'!F207</f>
        <v>-36241.691080000004</v>
      </c>
      <c r="G48" s="108">
        <f>-'Data Property 4'!G207</f>
        <v>-37207.602601599996</v>
      </c>
      <c r="H48" s="108">
        <f>-'Data Property 4'!H207</f>
        <v>-38192.832353632009</v>
      </c>
      <c r="I48" s="108">
        <f>-'Data Property 4'!I207</f>
        <v>-39197.766700704648</v>
      </c>
      <c r="J48" s="108">
        <f>-'Data Property 4'!J207</f>
        <v>-40222.799734718734</v>
      </c>
      <c r="K48" s="108">
        <f>-'Data Property 4'!K207</f>
        <v>-41268.33342941312</v>
      </c>
      <c r="L48" s="108">
        <f>-'Data Property 4'!L207</f>
        <v>-42334.777798001378</v>
      </c>
      <c r="M48" s="108">
        <f>-'Data Property 4'!M207</f>
        <v>-43422.551053961412</v>
      </c>
      <c r="N48" s="108">
        <f>-'Data Property 4'!N207</f>
        <v>-44532.079775040642</v>
      </c>
      <c r="O48" s="108">
        <f>-'Data Property 4'!O207</f>
        <v>-45663.799070541456</v>
      </c>
      <c r="P48" s="108">
        <f>-'Data Property 4'!P207</f>
        <v>-46818.152751952293</v>
      </c>
      <c r="Q48" s="108">
        <f>-'Data Property 4'!Q207</f>
        <v>-47995.593506991339</v>
      </c>
    </row>
    <row r="49" spans="1:17" hidden="1" outlineLevel="1" x14ac:dyDescent="0.2">
      <c r="A49" s="107" t="s">
        <v>139</v>
      </c>
      <c r="B49" s="81"/>
      <c r="C49" s="300">
        <f t="shared" ref="C49:Q49" si="6">C47+C48</f>
        <v>89543.885000000009</v>
      </c>
      <c r="D49" s="103">
        <f t="shared" si="6"/>
        <v>91093.684999999998</v>
      </c>
      <c r="E49" s="103">
        <f t="shared" si="6"/>
        <v>92674.481</v>
      </c>
      <c r="F49" s="103">
        <f t="shared" si="6"/>
        <v>94286.892919999998</v>
      </c>
      <c r="G49" s="103">
        <f t="shared" si="6"/>
        <v>95931.5530784</v>
      </c>
      <c r="H49" s="103">
        <f t="shared" si="6"/>
        <v>97609.106439968004</v>
      </c>
      <c r="I49" s="103">
        <f t="shared" si="6"/>
        <v>99320.210868767375</v>
      </c>
      <c r="J49" s="103">
        <f t="shared" si="6"/>
        <v>101065.53738614272</v>
      </c>
      <c r="K49" s="103">
        <f t="shared" si="6"/>
        <v>102845.77043386557</v>
      </c>
      <c r="L49" s="103">
        <f t="shared" si="6"/>
        <v>104661.6081425429</v>
      </c>
      <c r="M49" s="103">
        <f t="shared" si="6"/>
        <v>106513.76260539374</v>
      </c>
      <c r="N49" s="103">
        <f t="shared" si="6"/>
        <v>108402.96015750163</v>
      </c>
      <c r="O49" s="103">
        <f t="shared" si="6"/>
        <v>110329.94166065168</v>
      </c>
      <c r="P49" s="103">
        <f t="shared" si="6"/>
        <v>112295.46279386472</v>
      </c>
      <c r="Q49" s="103">
        <f t="shared" si="6"/>
        <v>114300.29434974201</v>
      </c>
    </row>
    <row r="50" spans="1:17" hidden="1" outlineLevel="1" x14ac:dyDescent="0.2">
      <c r="A50" s="107" t="s">
        <v>138</v>
      </c>
      <c r="B50" s="70"/>
      <c r="C50" s="302">
        <f>'Data Property 4'!C215</f>
        <v>96000</v>
      </c>
      <c r="D50" s="106">
        <f>'Data Property 4'!D215</f>
        <v>97920</v>
      </c>
      <c r="E50" s="106">
        <f>'Data Property 4'!E215</f>
        <v>99878.400000000009</v>
      </c>
      <c r="F50" s="106">
        <f>'Data Property 4'!F215</f>
        <v>101875.96800000001</v>
      </c>
      <c r="G50" s="106">
        <f>'Data Property 4'!G215</f>
        <v>103913.48736000001</v>
      </c>
      <c r="H50" s="106">
        <f>'Data Property 4'!H215</f>
        <v>105991.75710720001</v>
      </c>
      <c r="I50" s="106">
        <f>'Data Property 4'!I215</f>
        <v>108111.59224934402</v>
      </c>
      <c r="J50" s="106">
        <f>'Data Property 4'!J215</f>
        <v>110273.82409433089</v>
      </c>
      <c r="K50" s="106">
        <f>'Data Property 4'!K215</f>
        <v>112479.30057621752</v>
      </c>
      <c r="L50" s="106">
        <f>'Data Property 4'!L215</f>
        <v>114728.88658774187</v>
      </c>
      <c r="M50" s="106">
        <f>'Data Property 4'!M215</f>
        <v>117023.46431949671</v>
      </c>
      <c r="N50" s="106">
        <f>'Data Property 4'!N215</f>
        <v>119363.93360588665</v>
      </c>
      <c r="O50" s="106">
        <f>'Data Property 4'!O215</f>
        <v>121751.21227800439</v>
      </c>
      <c r="P50" s="106">
        <f>'Data Property 4'!P215</f>
        <v>124186.23652356448</v>
      </c>
      <c r="Q50" s="106">
        <f>'Data Property 4'!Q215</f>
        <v>126669.96125403578</v>
      </c>
    </row>
    <row r="51" spans="1:17" hidden="1" outlineLevel="1" x14ac:dyDescent="0.2">
      <c r="A51" s="107" t="s">
        <v>35</v>
      </c>
      <c r="B51" s="189"/>
      <c r="C51" s="303">
        <f>'Data Property 4'!C216</f>
        <v>23466.115000000002</v>
      </c>
      <c r="D51" s="108">
        <f>'Data Property 4'!D216</f>
        <v>24176.514999999999</v>
      </c>
      <c r="E51" s="108">
        <f>'Data Property 4'!E216</f>
        <v>24901.123000000003</v>
      </c>
      <c r="F51" s="108">
        <f>'Data Property 4'!F216</f>
        <v>25640.223160000001</v>
      </c>
      <c r="G51" s="108">
        <f>'Data Property 4'!G216</f>
        <v>26394.105323200005</v>
      </c>
      <c r="H51" s="108">
        <f>'Data Property 4'!H216</f>
        <v>27163.065129664006</v>
      </c>
      <c r="I51" s="108">
        <f>'Data Property 4'!I216</f>
        <v>27947.404132257288</v>
      </c>
      <c r="J51" s="108">
        <f>'Data Property 4'!J216</f>
        <v>28747.42991490243</v>
      </c>
      <c r="K51" s="108">
        <f>'Data Property 4'!K216</f>
        <v>29563.456213200479</v>
      </c>
      <c r="L51" s="108">
        <f>'Data Property 4'!L216</f>
        <v>30395.803037464495</v>
      </c>
      <c r="M51" s="108">
        <f>'Data Property 4'!M216</f>
        <v>31244.796798213782</v>
      </c>
      <c r="N51" s="108">
        <f>'Data Property 4'!N216</f>
        <v>32110.770434178059</v>
      </c>
      <c r="O51" s="108">
        <f>'Data Property 4'!O216</f>
        <v>32994.063542861622</v>
      </c>
      <c r="P51" s="108">
        <f>'Data Property 4'!P216</f>
        <v>33895.022513718861</v>
      </c>
      <c r="Q51" s="108">
        <f>'Data Property 4'!Q216</f>
        <v>34814.00066399324</v>
      </c>
    </row>
    <row r="52" spans="1:17" hidden="1" outlineLevel="1" x14ac:dyDescent="0.2">
      <c r="A52" s="109" t="s">
        <v>139</v>
      </c>
      <c r="B52" s="81"/>
      <c r="C52" s="304">
        <f t="shared" ref="C52:Q52" si="7">C50+C51</f>
        <v>119466.11500000001</v>
      </c>
      <c r="D52" s="110">
        <f t="shared" si="7"/>
        <v>122096.515</v>
      </c>
      <c r="E52" s="110">
        <f t="shared" si="7"/>
        <v>124779.52300000002</v>
      </c>
      <c r="F52" s="110">
        <f t="shared" si="7"/>
        <v>127516.19116000002</v>
      </c>
      <c r="G52" s="110">
        <f t="shared" si="7"/>
        <v>130307.59268320003</v>
      </c>
      <c r="H52" s="110">
        <f t="shared" si="7"/>
        <v>133154.82223686401</v>
      </c>
      <c r="I52" s="110">
        <f t="shared" si="7"/>
        <v>136058.99638160132</v>
      </c>
      <c r="J52" s="110">
        <f t="shared" si="7"/>
        <v>139021.25400923332</v>
      </c>
      <c r="K52" s="110">
        <f t="shared" si="7"/>
        <v>142042.756789418</v>
      </c>
      <c r="L52" s="110">
        <f t="shared" si="7"/>
        <v>145124.68962520637</v>
      </c>
      <c r="M52" s="110">
        <f t="shared" si="7"/>
        <v>148268.2611177105</v>
      </c>
      <c r="N52" s="110">
        <f t="shared" si="7"/>
        <v>151474.70404006471</v>
      </c>
      <c r="O52" s="110">
        <f t="shared" si="7"/>
        <v>154745.27582086599</v>
      </c>
      <c r="P52" s="110">
        <f t="shared" si="7"/>
        <v>158081.25903728334</v>
      </c>
      <c r="Q52" s="110">
        <f t="shared" si="7"/>
        <v>161483.961918029</v>
      </c>
    </row>
    <row r="53" spans="1:17" hidden="1" outlineLevel="1" x14ac:dyDescent="0.2">
      <c r="A53" s="78" t="s">
        <v>144</v>
      </c>
      <c r="B53" s="351"/>
      <c r="C53" s="305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1:17" hidden="1" outlineLevel="1" x14ac:dyDescent="0.2">
      <c r="A54" s="105" t="s">
        <v>137</v>
      </c>
      <c r="B54" s="70"/>
      <c r="C54" s="302">
        <f>'Data Property 4'!C209</f>
        <v>120149.48931585127</v>
      </c>
      <c r="D54" s="106">
        <f>'Data Property 4'!D209</f>
        <v>121908.36962421722</v>
      </c>
      <c r="E54" s="106">
        <f>'Data Property 4'!E209</f>
        <v>124847.14003794643</v>
      </c>
      <c r="F54" s="106">
        <f>'Data Property 4'!F209</f>
        <v>127795.4959388951</v>
      </c>
      <c r="G54" s="106">
        <f>'Data Property 4'!G209</f>
        <v>130768.93256736746</v>
      </c>
      <c r="H54" s="106">
        <f>'Data Property 4'!H209</f>
        <v>133963.31147028986</v>
      </c>
      <c r="I54" s="106">
        <f>'Data Property 4'!I209</f>
        <v>137013.57790613745</v>
      </c>
      <c r="J54" s="106">
        <f>'Data Property 4'!J209</f>
        <v>140118.06530969351</v>
      </c>
      <c r="K54" s="106">
        <f>'Data Property 4'!K209</f>
        <v>143277.71001745656</v>
      </c>
      <c r="L54" s="106">
        <f>'Data Property 4'!L209</f>
        <v>146504.22723659762</v>
      </c>
      <c r="M54" s="106">
        <f>'Data Property 4'!M209</f>
        <v>149776.51488429296</v>
      </c>
      <c r="N54" s="106">
        <f>'Data Property 4'!N209</f>
        <v>153121.1924222979</v>
      </c>
      <c r="O54" s="106">
        <f>'Data Property 4'!O209</f>
        <v>156532.42766712871</v>
      </c>
      <c r="P54" s="106">
        <f>'Data Property 4'!P209</f>
        <v>160024.97353951217</v>
      </c>
      <c r="Q54" s="106">
        <f>'Data Property 4'!Q209</f>
        <v>163562.36397002847</v>
      </c>
    </row>
    <row r="55" spans="1:17" hidden="1" outlineLevel="1" x14ac:dyDescent="0.2">
      <c r="A55" s="107" t="s">
        <v>35</v>
      </c>
      <c r="B55" s="47"/>
      <c r="C55" s="298">
        <f>-'Data Property 4'!C210</f>
        <v>-32352.368616183954</v>
      </c>
      <c r="D55" s="100">
        <f>-'Data Property 4'!D210</f>
        <v>-33130.679630721621</v>
      </c>
      <c r="E55" s="100">
        <f>-'Data Property 4'!E210</f>
        <v>-34196.449798365175</v>
      </c>
      <c r="F55" s="100">
        <f>-'Data Property 4'!F210</f>
        <v>-35267.893639862647</v>
      </c>
      <c r="G55" s="100">
        <f>-'Data Property 4'!G210</f>
        <v>-36349.175663226393</v>
      </c>
      <c r="H55" s="100">
        <f>-'Data Property 4'!H210</f>
        <v>-37514.23194346972</v>
      </c>
      <c r="I55" s="100">
        <f>-'Data Property 4'!I210</f>
        <v>-38623.79492318078</v>
      </c>
      <c r="J55" s="100">
        <f>-'Data Property 4'!J210</f>
        <v>-39755.554043107128</v>
      </c>
      <c r="K55" s="100">
        <f>-'Data Property 4'!K210</f>
        <v>-40908.497432896009</v>
      </c>
      <c r="L55" s="100">
        <f>-'Data Property 4'!L210</f>
        <v>-42088.271204551362</v>
      </c>
      <c r="M55" s="100">
        <f>-'Data Property 4'!M210</f>
        <v>-43283.381543895208</v>
      </c>
      <c r="N55" s="100">
        <f>-'Data Property 4'!N210</f>
        <v>-44507.495533255453</v>
      </c>
      <c r="O55" s="100">
        <f>-'Data Property 4'!O210</f>
        <v>-45757.275875182058</v>
      </c>
      <c r="P55" s="100">
        <f>-'Data Property 4'!P210</f>
        <v>-47039.383585117554</v>
      </c>
      <c r="Q55" s="100">
        <f>-'Data Property 4'!Q210</f>
        <v>-48337.019010134041</v>
      </c>
    </row>
    <row r="56" spans="1:17" hidden="1" outlineLevel="1" x14ac:dyDescent="0.2">
      <c r="A56" s="107" t="s">
        <v>143</v>
      </c>
      <c r="B56" s="81"/>
      <c r="C56" s="300">
        <f t="shared" ref="C56:Q56" si="8">C54+C55</f>
        <v>87797.120699667314</v>
      </c>
      <c r="D56" s="103">
        <f t="shared" si="8"/>
        <v>88777.689993495587</v>
      </c>
      <c r="E56" s="103">
        <f t="shared" si="8"/>
        <v>90650.69023958125</v>
      </c>
      <c r="F56" s="103">
        <f t="shared" si="8"/>
        <v>92527.602299032442</v>
      </c>
      <c r="G56" s="103">
        <f t="shared" si="8"/>
        <v>94419.756904141075</v>
      </c>
      <c r="H56" s="103">
        <f t="shared" si="8"/>
        <v>96449.079526820133</v>
      </c>
      <c r="I56" s="103">
        <f t="shared" si="8"/>
        <v>98389.782982956676</v>
      </c>
      <c r="J56" s="103">
        <f t="shared" si="8"/>
        <v>100362.51126658639</v>
      </c>
      <c r="K56" s="103">
        <f t="shared" si="8"/>
        <v>102369.21258456055</v>
      </c>
      <c r="L56" s="103">
        <f t="shared" si="8"/>
        <v>104415.95603204626</v>
      </c>
      <c r="M56" s="103">
        <f t="shared" si="8"/>
        <v>106493.13334039776</v>
      </c>
      <c r="N56" s="103">
        <f t="shared" si="8"/>
        <v>108613.69688904245</v>
      </c>
      <c r="O56" s="103">
        <f t="shared" si="8"/>
        <v>110775.15179194664</v>
      </c>
      <c r="P56" s="103">
        <f t="shared" si="8"/>
        <v>112985.58995439461</v>
      </c>
      <c r="Q56" s="103">
        <f t="shared" si="8"/>
        <v>115225.34495989443</v>
      </c>
    </row>
    <row r="57" spans="1:17" hidden="1" outlineLevel="1" x14ac:dyDescent="0.2">
      <c r="A57" s="107" t="s">
        <v>138</v>
      </c>
      <c r="B57" s="70"/>
      <c r="C57" s="302">
        <f>'Data Property 4'!C218</f>
        <v>93149.489315851271</v>
      </c>
      <c r="D57" s="106">
        <f>'Data Property 4'!D218</f>
        <v>94368.369624217215</v>
      </c>
      <c r="E57" s="106">
        <f>'Data Property 4'!E218</f>
        <v>96756.340037946444</v>
      </c>
      <c r="F57" s="106">
        <f>'Data Property 4'!F218</f>
        <v>99142.879938895087</v>
      </c>
      <c r="G57" s="106">
        <f>'Data Property 4'!G218</f>
        <v>101543.26424736748</v>
      </c>
      <c r="H57" s="106">
        <f>'Data Property 4'!H218</f>
        <v>104153.12978388985</v>
      </c>
      <c r="I57" s="106">
        <f>'Data Property 4'!I218</f>
        <v>106607.19258600945</v>
      </c>
      <c r="J57" s="106">
        <f>'Data Property 4'!J218</f>
        <v>109103.55228316296</v>
      </c>
      <c r="K57" s="106">
        <f>'Data Property 4'!K218</f>
        <v>111642.90673039539</v>
      </c>
      <c r="L57" s="106">
        <f>'Data Property 4'!L218</f>
        <v>114236.72788379522</v>
      </c>
      <c r="M57" s="106">
        <f>'Data Property 4'!M218</f>
        <v>116863.66554443452</v>
      </c>
      <c r="N57" s="106">
        <f>'Data Property 4'!N218</f>
        <v>119550.08609564227</v>
      </c>
      <c r="O57" s="106">
        <f>'Data Property 4'!O218</f>
        <v>122289.89921393996</v>
      </c>
      <c r="P57" s="106">
        <f>'Data Property 4'!P218</f>
        <v>125097.59451725963</v>
      </c>
      <c r="Q57" s="106">
        <f>'Data Property 4'!Q218</f>
        <v>127936.43736733089</v>
      </c>
    </row>
    <row r="58" spans="1:17" hidden="1" outlineLevel="1" x14ac:dyDescent="0.2">
      <c r="A58" s="107" t="s">
        <v>35</v>
      </c>
      <c r="B58" s="47"/>
      <c r="C58" s="298">
        <f>-'Data Property 4'!C219</f>
        <v>-22362.368616183954</v>
      </c>
      <c r="D58" s="100">
        <f>-'Data Property 4'!D219</f>
        <v>-22940.879630721625</v>
      </c>
      <c r="E58" s="100">
        <f>-'Data Property 4'!E219</f>
        <v>-23802.85379836518</v>
      </c>
      <c r="F58" s="100">
        <f>-'Data Property 4'!F219</f>
        <v>-24666.425719862647</v>
      </c>
      <c r="G58" s="100">
        <f>-'Data Property 4'!G219</f>
        <v>-25535.678384826402</v>
      </c>
      <c r="H58" s="100">
        <f>-'Data Property 4'!H219</f>
        <v>-26484.464719501724</v>
      </c>
      <c r="I58" s="100">
        <f>-'Data Property 4'!I219</f>
        <v>-27373.432354733424</v>
      </c>
      <c r="J58" s="100">
        <f>-'Data Property 4'!J219</f>
        <v>-28280.184223290817</v>
      </c>
      <c r="K58" s="100">
        <f>-'Data Property 4'!K219</f>
        <v>-29203.620216683372</v>
      </c>
      <c r="L58" s="100">
        <f>-'Data Property 4'!L219</f>
        <v>-30149.296444014479</v>
      </c>
      <c r="M58" s="100">
        <f>-'Data Property 4'!M219</f>
        <v>-31105.627288147585</v>
      </c>
      <c r="N58" s="100">
        <f>-'Data Property 4'!N219</f>
        <v>-32086.186192392874</v>
      </c>
      <c r="O58" s="100">
        <f>-'Data Property 4'!O219</f>
        <v>-33087.540347502225</v>
      </c>
      <c r="P58" s="100">
        <f>-'Data Property 4'!P219</f>
        <v>-34116.253346884128</v>
      </c>
      <c r="Q58" s="100">
        <f>-'Data Property 4'!Q219</f>
        <v>-35155.426167135942</v>
      </c>
    </row>
    <row r="59" spans="1:17" hidden="1" outlineLevel="1" x14ac:dyDescent="0.2">
      <c r="A59" s="109" t="s">
        <v>142</v>
      </c>
      <c r="B59" s="81"/>
      <c r="C59" s="304">
        <f t="shared" ref="C59:Q59" si="9">C57+C58</f>
        <v>70787.120699667314</v>
      </c>
      <c r="D59" s="110">
        <f t="shared" si="9"/>
        <v>71427.48999349559</v>
      </c>
      <c r="E59" s="110">
        <f t="shared" si="9"/>
        <v>72953.486239581267</v>
      </c>
      <c r="F59" s="110">
        <f t="shared" si="9"/>
        <v>74476.454219032443</v>
      </c>
      <c r="G59" s="110">
        <f t="shared" si="9"/>
        <v>76007.585862541076</v>
      </c>
      <c r="H59" s="110">
        <f t="shared" si="9"/>
        <v>77668.665064388129</v>
      </c>
      <c r="I59" s="110">
        <f t="shared" si="9"/>
        <v>79233.760231276028</v>
      </c>
      <c r="J59" s="110">
        <f t="shared" si="9"/>
        <v>80823.368059872155</v>
      </c>
      <c r="K59" s="110">
        <f t="shared" si="9"/>
        <v>82439.286513712024</v>
      </c>
      <c r="L59" s="110">
        <f t="shared" si="9"/>
        <v>84087.431439780747</v>
      </c>
      <c r="M59" s="110">
        <f t="shared" si="9"/>
        <v>85758.038256286934</v>
      </c>
      <c r="N59" s="110">
        <f t="shared" si="9"/>
        <v>87463.899903249403</v>
      </c>
      <c r="O59" s="110">
        <f t="shared" si="9"/>
        <v>89202.358866437746</v>
      </c>
      <c r="P59" s="110">
        <f t="shared" si="9"/>
        <v>90981.341170375497</v>
      </c>
      <c r="Q59" s="110">
        <f t="shared" si="9"/>
        <v>92781.011200194946</v>
      </c>
    </row>
    <row r="60" spans="1:17" collapsed="1" x14ac:dyDescent="0.2">
      <c r="A60" s="210" t="s">
        <v>241</v>
      </c>
      <c r="B60" s="352"/>
      <c r="C60" s="304">
        <f t="shared" ref="C60:Q60" si="10">C56+C59</f>
        <v>158584.24139933463</v>
      </c>
      <c r="D60" s="110">
        <f t="shared" si="10"/>
        <v>160205.17998699116</v>
      </c>
      <c r="E60" s="110">
        <f t="shared" si="10"/>
        <v>163604.17647916253</v>
      </c>
      <c r="F60" s="110">
        <f t="shared" si="10"/>
        <v>167004.05651806487</v>
      </c>
      <c r="G60" s="110">
        <f t="shared" si="10"/>
        <v>170427.34276668215</v>
      </c>
      <c r="H60" s="110">
        <f t="shared" si="10"/>
        <v>174117.74459120826</v>
      </c>
      <c r="I60" s="110">
        <f t="shared" si="10"/>
        <v>177623.54321423272</v>
      </c>
      <c r="J60" s="110">
        <f t="shared" si="10"/>
        <v>181185.87932645855</v>
      </c>
      <c r="K60" s="110">
        <f t="shared" si="10"/>
        <v>184808.49909827259</v>
      </c>
      <c r="L60" s="110">
        <f t="shared" si="10"/>
        <v>188503.38747182701</v>
      </c>
      <c r="M60" s="110">
        <f t="shared" si="10"/>
        <v>192251.1715966847</v>
      </c>
      <c r="N60" s="110">
        <f t="shared" si="10"/>
        <v>196077.59679229185</v>
      </c>
      <c r="O60" s="110">
        <f t="shared" si="10"/>
        <v>199977.51065838439</v>
      </c>
      <c r="P60" s="110">
        <f t="shared" si="10"/>
        <v>203966.93112477011</v>
      </c>
      <c r="Q60" s="110">
        <f t="shared" si="10"/>
        <v>208006.35616008937</v>
      </c>
    </row>
    <row r="61" spans="1:17" x14ac:dyDescent="0.2">
      <c r="A61" s="73" t="s">
        <v>160</v>
      </c>
      <c r="B61" s="342"/>
      <c r="C61" s="306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1:17" hidden="1" outlineLevel="1" x14ac:dyDescent="0.2">
      <c r="A62" s="83" t="s">
        <v>140</v>
      </c>
      <c r="B62" s="60"/>
      <c r="C62" s="296">
        <f t="shared" ref="C62:Q62" si="11">-C48+C55</f>
        <v>1103.7463838160438</v>
      </c>
      <c r="D62" s="97">
        <f t="shared" si="11"/>
        <v>1235.6353692783814</v>
      </c>
      <c r="E62" s="97">
        <f t="shared" si="11"/>
        <v>1098.2692016348228</v>
      </c>
      <c r="F62" s="97">
        <f t="shared" si="11"/>
        <v>973.79744013735763</v>
      </c>
      <c r="G62" s="97">
        <f t="shared" si="11"/>
        <v>858.42693837360275</v>
      </c>
      <c r="H62" s="97">
        <f t="shared" si="11"/>
        <v>678.60041016228934</v>
      </c>
      <c r="I62" s="97">
        <f t="shared" si="11"/>
        <v>573.97177752386779</v>
      </c>
      <c r="J62" s="97">
        <f t="shared" si="11"/>
        <v>467.24569161160616</v>
      </c>
      <c r="K62" s="97">
        <f t="shared" si="11"/>
        <v>359.8359965171112</v>
      </c>
      <c r="L62" s="97">
        <f t="shared" si="11"/>
        <v>246.50659345001623</v>
      </c>
      <c r="M62" s="97">
        <f t="shared" si="11"/>
        <v>139.16951006620366</v>
      </c>
      <c r="N62" s="97">
        <f t="shared" si="11"/>
        <v>24.584241785189079</v>
      </c>
      <c r="O62" s="97">
        <f t="shared" si="11"/>
        <v>-93.476804640602495</v>
      </c>
      <c r="P62" s="97">
        <f t="shared" si="11"/>
        <v>-221.23083316526026</v>
      </c>
      <c r="Q62" s="97">
        <f t="shared" si="11"/>
        <v>-341.42550314270193</v>
      </c>
    </row>
    <row r="63" spans="1:17" hidden="1" outlineLevel="1" x14ac:dyDescent="0.2">
      <c r="A63" s="85" t="s">
        <v>141</v>
      </c>
      <c r="B63" s="76"/>
      <c r="C63" s="299">
        <f t="shared" ref="C63:Q63" si="12">-C51+C58</f>
        <v>-45828.483616183956</v>
      </c>
      <c r="D63" s="101">
        <f t="shared" si="12"/>
        <v>-47117.394630721625</v>
      </c>
      <c r="E63" s="101">
        <f t="shared" si="12"/>
        <v>-48703.976798365184</v>
      </c>
      <c r="F63" s="101">
        <f t="shared" si="12"/>
        <v>-50306.648879862652</v>
      </c>
      <c r="G63" s="101">
        <f t="shared" si="12"/>
        <v>-51929.783708026407</v>
      </c>
      <c r="H63" s="101">
        <f t="shared" si="12"/>
        <v>-53647.52984916573</v>
      </c>
      <c r="I63" s="101">
        <f t="shared" si="12"/>
        <v>-55320.836486990709</v>
      </c>
      <c r="J63" s="101">
        <f t="shared" si="12"/>
        <v>-57027.614138193247</v>
      </c>
      <c r="K63" s="101">
        <f t="shared" si="12"/>
        <v>-58767.076429883848</v>
      </c>
      <c r="L63" s="101">
        <f t="shared" si="12"/>
        <v>-60545.099481478974</v>
      </c>
      <c r="M63" s="101">
        <f t="shared" si="12"/>
        <v>-62350.424086361367</v>
      </c>
      <c r="N63" s="101">
        <f t="shared" si="12"/>
        <v>-64196.956626570929</v>
      </c>
      <c r="O63" s="101">
        <f t="shared" si="12"/>
        <v>-66081.603890363855</v>
      </c>
      <c r="P63" s="101">
        <f t="shared" si="12"/>
        <v>-68011.275860602997</v>
      </c>
      <c r="Q63" s="101">
        <f t="shared" si="12"/>
        <v>-69969.426831129182</v>
      </c>
    </row>
    <row r="64" spans="1:17" collapsed="1" x14ac:dyDescent="0.2">
      <c r="A64" s="111" t="s">
        <v>44</v>
      </c>
      <c r="B64" s="353"/>
      <c r="C64" s="307">
        <f t="shared" ref="C64:Q64" si="13">C62+C63</f>
        <v>-44724.737232367916</v>
      </c>
      <c r="D64" s="112">
        <f t="shared" si="13"/>
        <v>-45881.759261443243</v>
      </c>
      <c r="E64" s="112">
        <f t="shared" si="13"/>
        <v>-47605.707596730361</v>
      </c>
      <c r="F64" s="112">
        <f t="shared" si="13"/>
        <v>-49332.851439725295</v>
      </c>
      <c r="G64" s="112">
        <f t="shared" si="13"/>
        <v>-51071.356769652804</v>
      </c>
      <c r="H64" s="112">
        <f t="shared" si="13"/>
        <v>-52968.929439003441</v>
      </c>
      <c r="I64" s="112">
        <f t="shared" si="13"/>
        <v>-54746.864709466841</v>
      </c>
      <c r="J64" s="112">
        <f t="shared" si="13"/>
        <v>-56560.36844658164</v>
      </c>
      <c r="K64" s="112">
        <f t="shared" si="13"/>
        <v>-58407.240433366736</v>
      </c>
      <c r="L64" s="112">
        <f t="shared" si="13"/>
        <v>-60298.592888028958</v>
      </c>
      <c r="M64" s="112">
        <f t="shared" si="13"/>
        <v>-62211.254576295163</v>
      </c>
      <c r="N64" s="112">
        <f t="shared" si="13"/>
        <v>-64172.37238478574</v>
      </c>
      <c r="O64" s="112">
        <f t="shared" si="13"/>
        <v>-66175.080695004464</v>
      </c>
      <c r="P64" s="112">
        <f t="shared" si="13"/>
        <v>-68232.506693768257</v>
      </c>
      <c r="Q64" s="112">
        <f t="shared" si="13"/>
        <v>-70310.852334271884</v>
      </c>
    </row>
    <row r="65" spans="1:17" x14ac:dyDescent="0.2">
      <c r="A65" s="76"/>
      <c r="B65" s="76"/>
      <c r="C65" s="308"/>
      <c r="D65" s="189"/>
      <c r="E65" s="189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</row>
    <row r="66" spans="1:17" x14ac:dyDescent="0.2">
      <c r="A66" s="104" t="s">
        <v>130</v>
      </c>
      <c r="B66" s="350"/>
      <c r="C66" s="309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</row>
    <row r="67" spans="1:17" x14ac:dyDescent="0.2">
      <c r="A67" s="96" t="str">
        <f>A44</f>
        <v>Total Property Loss (Gain)</v>
      </c>
      <c r="B67" s="346"/>
      <c r="C67" s="296">
        <f t="shared" ref="C67:Q67" si="14">C41</f>
        <v>-3839.0213682974572</v>
      </c>
      <c r="D67" s="97">
        <f t="shared" si="14"/>
        <v>-5691.2607515655618</v>
      </c>
      <c r="E67" s="97">
        <f t="shared" si="14"/>
        <v>-5147.1199241071408</v>
      </c>
      <c r="F67" s="97">
        <f t="shared" si="14"/>
        <v>-4589.6761222098285</v>
      </c>
      <c r="G67" s="97">
        <f t="shared" si="14"/>
        <v>-4018.2962252650686</v>
      </c>
      <c r="H67" s="97">
        <f t="shared" si="14"/>
        <v>-3425.149646620328</v>
      </c>
      <c r="I67" s="97">
        <f t="shared" si="14"/>
        <v>-2832.3258266691228</v>
      </c>
      <c r="J67" s="97">
        <f t="shared" si="14"/>
        <v>-2217.0121723358534</v>
      </c>
      <c r="K67" s="97">
        <f t="shared" si="14"/>
        <v>-1586.315676644248</v>
      </c>
      <c r="L67" s="97">
        <f t="shared" si="14"/>
        <v>-923.78699739331933</v>
      </c>
      <c r="M67" s="97">
        <f t="shared" si="14"/>
        <v>-277.22626277437666</v>
      </c>
      <c r="N67" s="97">
        <f t="shared" si="14"/>
        <v>401.96488065626181</v>
      </c>
      <c r="O67" s="97">
        <f t="shared" si="14"/>
        <v>1098.1358026726666</v>
      </c>
      <c r="P67" s="97">
        <f t="shared" si="14"/>
        <v>1837.2493389513475</v>
      </c>
      <c r="Q67" s="97">
        <f t="shared" si="14"/>
        <v>2543.1255726829622</v>
      </c>
    </row>
    <row r="68" spans="1:17" x14ac:dyDescent="0.2">
      <c r="A68" s="98" t="s">
        <v>131</v>
      </c>
      <c r="B68" s="348"/>
      <c r="C68" s="310">
        <f t="shared" ref="C68:Q68" si="15">C64</f>
        <v>-44724.737232367916</v>
      </c>
      <c r="D68" s="114">
        <f t="shared" si="15"/>
        <v>-45881.759261443243</v>
      </c>
      <c r="E68" s="114">
        <f t="shared" si="15"/>
        <v>-47605.707596730361</v>
      </c>
      <c r="F68" s="114">
        <f t="shared" si="15"/>
        <v>-49332.851439725295</v>
      </c>
      <c r="G68" s="114">
        <f t="shared" si="15"/>
        <v>-51071.356769652804</v>
      </c>
      <c r="H68" s="114">
        <f t="shared" si="15"/>
        <v>-52968.929439003441</v>
      </c>
      <c r="I68" s="114">
        <f t="shared" si="15"/>
        <v>-54746.864709466841</v>
      </c>
      <c r="J68" s="114">
        <f t="shared" si="15"/>
        <v>-56560.36844658164</v>
      </c>
      <c r="K68" s="114">
        <f t="shared" si="15"/>
        <v>-58407.240433366736</v>
      </c>
      <c r="L68" s="114">
        <f t="shared" si="15"/>
        <v>-60298.592888028958</v>
      </c>
      <c r="M68" s="114">
        <f t="shared" si="15"/>
        <v>-62211.254576295163</v>
      </c>
      <c r="N68" s="114">
        <f t="shared" si="15"/>
        <v>-64172.37238478574</v>
      </c>
      <c r="O68" s="114">
        <f t="shared" si="15"/>
        <v>-66175.080695004464</v>
      </c>
      <c r="P68" s="114">
        <f t="shared" si="15"/>
        <v>-68232.506693768257</v>
      </c>
      <c r="Q68" s="114">
        <f t="shared" si="15"/>
        <v>-70310.852334271884</v>
      </c>
    </row>
    <row r="69" spans="1:17" x14ac:dyDescent="0.2">
      <c r="A69" s="98"/>
      <c r="B69" s="348"/>
      <c r="C69" s="310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</row>
    <row r="70" spans="1:17" ht="15.75" x14ac:dyDescent="0.25">
      <c r="A70" s="115" t="s">
        <v>132</v>
      </c>
      <c r="B70" s="354"/>
      <c r="C70" s="311">
        <f t="shared" ref="C70:Q70" si="16">-(C67+C68)</f>
        <v>48563.758600665373</v>
      </c>
      <c r="D70" s="116">
        <f t="shared" si="16"/>
        <v>51573.020013008805</v>
      </c>
      <c r="E70" s="116">
        <f t="shared" si="16"/>
        <v>52752.827520837498</v>
      </c>
      <c r="F70" s="116">
        <f t="shared" si="16"/>
        <v>53922.527561935123</v>
      </c>
      <c r="G70" s="116">
        <f t="shared" si="16"/>
        <v>55089.652994917873</v>
      </c>
      <c r="H70" s="116">
        <f t="shared" si="16"/>
        <v>56394.079085623773</v>
      </c>
      <c r="I70" s="116">
        <f t="shared" si="16"/>
        <v>57579.190536135968</v>
      </c>
      <c r="J70" s="116">
        <f t="shared" si="16"/>
        <v>58777.380618917494</v>
      </c>
      <c r="K70" s="116">
        <f t="shared" si="16"/>
        <v>59993.556110010984</v>
      </c>
      <c r="L70" s="116">
        <f t="shared" si="16"/>
        <v>61222.379885422277</v>
      </c>
      <c r="M70" s="116">
        <f t="shared" si="16"/>
        <v>62488.48083906954</v>
      </c>
      <c r="N70" s="116">
        <f t="shared" si="16"/>
        <v>63770.407504129478</v>
      </c>
      <c r="O70" s="116">
        <f t="shared" si="16"/>
        <v>65076.944892331798</v>
      </c>
      <c r="P70" s="116">
        <f t="shared" si="16"/>
        <v>66395.257354816917</v>
      </c>
      <c r="Q70" s="116">
        <f t="shared" si="16"/>
        <v>67767.726761588914</v>
      </c>
    </row>
    <row r="71" spans="1:17" ht="15.75" x14ac:dyDescent="0.25">
      <c r="A71" s="117" t="s">
        <v>133</v>
      </c>
      <c r="B71" s="355"/>
      <c r="C71" s="312">
        <f>C70/'Input Property 4'!$B$64</f>
        <v>929.44992537158612</v>
      </c>
      <c r="D71" s="118">
        <f>D70/'Input Property 4'!$B$64</f>
        <v>987.04344522504891</v>
      </c>
      <c r="E71" s="118">
        <f>E70/'Input Property 4'!$B$64</f>
        <v>1009.6234932217703</v>
      </c>
      <c r="F71" s="118">
        <f>F70/'Input Property 4'!$B$64</f>
        <v>1032.0100968791412</v>
      </c>
      <c r="G71" s="118">
        <f>G70/'Input Property 4'!$B$64</f>
        <v>1054.3474257400551</v>
      </c>
      <c r="H71" s="118">
        <f>H70/'Input Property 4'!$B$64</f>
        <v>1079.3125183851439</v>
      </c>
      <c r="I71" s="118">
        <f>I70/'Input Property 4'!$B$64</f>
        <v>1101.9940772466214</v>
      </c>
      <c r="J71" s="118">
        <f>J70/'Input Property 4'!$B$64</f>
        <v>1124.9259448596649</v>
      </c>
      <c r="K71" s="118">
        <f>K70/'Input Property 4'!$B$64</f>
        <v>1148.2020308136073</v>
      </c>
      <c r="L71" s="118">
        <f>L70/'Input Property 4'!$B$64</f>
        <v>1171.7201891946847</v>
      </c>
      <c r="M71" s="118">
        <f>M70/'Input Property 4'!$B$64</f>
        <v>1195.9517863936753</v>
      </c>
      <c r="N71" s="118">
        <f>N70/'Input Property 4'!$B$64</f>
        <v>1220.4862680216168</v>
      </c>
      <c r="O71" s="118">
        <f>O70/'Input Property 4'!$B$64</f>
        <v>1245.4917682742928</v>
      </c>
      <c r="P71" s="118">
        <f>P70/'Input Property 4'!$B$64</f>
        <v>1270.7226288003237</v>
      </c>
      <c r="Q71" s="118">
        <f>Q70/'Input Property 4'!$B$64</f>
        <v>1296.9899858677304</v>
      </c>
    </row>
    <row r="72" spans="1:17" x14ac:dyDescent="0.2">
      <c r="A72" s="76"/>
      <c r="B72" s="76"/>
      <c r="C72" s="308"/>
      <c r="D72" s="189"/>
      <c r="E72" s="189"/>
      <c r="F72" s="189"/>
      <c r="G72" s="189"/>
      <c r="H72" s="189"/>
      <c r="I72" s="189"/>
      <c r="J72" s="189"/>
      <c r="K72" s="189"/>
      <c r="L72" s="189"/>
      <c r="M72" s="189"/>
      <c r="N72" s="189"/>
      <c r="O72" s="189"/>
      <c r="P72" s="189"/>
      <c r="Q72" s="189"/>
    </row>
    <row r="73" spans="1:17" x14ac:dyDescent="0.2">
      <c r="A73" s="52" t="s">
        <v>134</v>
      </c>
      <c r="B73" s="52"/>
      <c r="C73" s="313">
        <f t="shared" ref="C73:Q73" si="17">C36</f>
        <v>12571.428571428572</v>
      </c>
      <c r="D73" s="53">
        <f t="shared" si="17"/>
        <v>28348.571428571428</v>
      </c>
      <c r="E73" s="53">
        <f t="shared" si="17"/>
        <v>28974.736607142859</v>
      </c>
      <c r="F73" s="53">
        <f t="shared" si="17"/>
        <v>29699.105022321426</v>
      </c>
      <c r="G73" s="53">
        <f t="shared" si="17"/>
        <v>30441.582647879462</v>
      </c>
      <c r="H73" s="53">
        <f t="shared" si="17"/>
        <v>31291.518573660705</v>
      </c>
      <c r="I73" s="53">
        <f t="shared" si="17"/>
        <v>31982.68776942835</v>
      </c>
      <c r="J73" s="53">
        <f t="shared" si="17"/>
        <v>32782.254963664054</v>
      </c>
      <c r="K73" s="53">
        <f t="shared" si="17"/>
        <v>33601.811337755658</v>
      </c>
      <c r="L73" s="53">
        <f t="shared" si="17"/>
        <v>34539.981568838288</v>
      </c>
      <c r="M73" s="53">
        <f t="shared" si="17"/>
        <v>35302.903036729527</v>
      </c>
      <c r="N73" s="53">
        <f t="shared" si="17"/>
        <v>36185.475612647759</v>
      </c>
      <c r="O73" s="53">
        <f t="shared" si="17"/>
        <v>37090.112502963952</v>
      </c>
      <c r="P73" s="53">
        <f t="shared" si="17"/>
        <v>38125.676897633595</v>
      </c>
      <c r="Q73" s="53">
        <f t="shared" si="17"/>
        <v>38967.799448426493</v>
      </c>
    </row>
    <row r="74" spans="1:17" x14ac:dyDescent="0.2">
      <c r="A74" s="52" t="s">
        <v>135</v>
      </c>
      <c r="B74" s="356"/>
      <c r="C74" s="314">
        <f t="shared" ref="C74:Q74" si="18">IF(C68&lt;0,0,C68)</f>
        <v>0</v>
      </c>
      <c r="D74" s="54">
        <f t="shared" si="18"/>
        <v>0</v>
      </c>
      <c r="E74" s="54">
        <f t="shared" si="18"/>
        <v>0</v>
      </c>
      <c r="F74" s="54">
        <f t="shared" si="18"/>
        <v>0</v>
      </c>
      <c r="G74" s="54">
        <f t="shared" si="18"/>
        <v>0</v>
      </c>
      <c r="H74" s="54">
        <f t="shared" si="18"/>
        <v>0</v>
      </c>
      <c r="I74" s="54">
        <f t="shared" si="18"/>
        <v>0</v>
      </c>
      <c r="J74" s="54">
        <f t="shared" si="18"/>
        <v>0</v>
      </c>
      <c r="K74" s="54">
        <f t="shared" si="18"/>
        <v>0</v>
      </c>
      <c r="L74" s="54">
        <f t="shared" si="18"/>
        <v>0</v>
      </c>
      <c r="M74" s="54">
        <f t="shared" si="18"/>
        <v>0</v>
      </c>
      <c r="N74" s="54">
        <f t="shared" si="18"/>
        <v>0</v>
      </c>
      <c r="O74" s="54">
        <f t="shared" si="18"/>
        <v>0</v>
      </c>
      <c r="P74" s="54">
        <f t="shared" si="18"/>
        <v>0</v>
      </c>
      <c r="Q74" s="54">
        <f t="shared" si="18"/>
        <v>0</v>
      </c>
    </row>
    <row r="75" spans="1:17" x14ac:dyDescent="0.2">
      <c r="A75" s="52" t="s">
        <v>136</v>
      </c>
      <c r="B75" s="357"/>
      <c r="C75" s="315">
        <f t="shared" ref="C75:Q75" si="19">IF(C70&gt;0,C70,0)</f>
        <v>48563.758600665373</v>
      </c>
      <c r="D75" s="59">
        <f t="shared" si="19"/>
        <v>51573.020013008805</v>
      </c>
      <c r="E75" s="59">
        <f t="shared" si="19"/>
        <v>52752.827520837498</v>
      </c>
      <c r="F75" s="59">
        <f t="shared" si="19"/>
        <v>53922.527561935123</v>
      </c>
      <c r="G75" s="59">
        <f t="shared" si="19"/>
        <v>55089.652994917873</v>
      </c>
      <c r="H75" s="59">
        <f t="shared" si="19"/>
        <v>56394.079085623773</v>
      </c>
      <c r="I75" s="59">
        <f t="shared" si="19"/>
        <v>57579.190536135968</v>
      </c>
      <c r="J75" s="59">
        <f t="shared" si="19"/>
        <v>58777.380618917494</v>
      </c>
      <c r="K75" s="59">
        <f t="shared" si="19"/>
        <v>59993.556110010984</v>
      </c>
      <c r="L75" s="59">
        <f t="shared" si="19"/>
        <v>61222.379885422277</v>
      </c>
      <c r="M75" s="59">
        <f t="shared" si="19"/>
        <v>62488.48083906954</v>
      </c>
      <c r="N75" s="59">
        <f t="shared" si="19"/>
        <v>63770.407504129478</v>
      </c>
      <c r="O75" s="59">
        <f t="shared" si="19"/>
        <v>65076.944892331798</v>
      </c>
      <c r="P75" s="59">
        <f t="shared" si="19"/>
        <v>66395.257354816917</v>
      </c>
      <c r="Q75" s="59">
        <f t="shared" si="19"/>
        <v>67767.726761588914</v>
      </c>
    </row>
    <row r="76" spans="1:17" ht="13.5" thickBot="1" x14ac:dyDescent="0.25">
      <c r="A76" s="48" t="s">
        <v>86</v>
      </c>
      <c r="B76" s="358"/>
      <c r="C76" s="316">
        <f t="shared" ref="C76:Q76" si="20">SUM(C73:C75)</f>
        <v>61135.187172093945</v>
      </c>
      <c r="D76" s="61">
        <f t="shared" si="20"/>
        <v>79921.59144158024</v>
      </c>
      <c r="E76" s="61">
        <f t="shared" si="20"/>
        <v>81727.564127980353</v>
      </c>
      <c r="F76" s="61">
        <f t="shared" si="20"/>
        <v>83621.632584256557</v>
      </c>
      <c r="G76" s="61">
        <f t="shared" si="20"/>
        <v>85531.235642797343</v>
      </c>
      <c r="H76" s="61">
        <f t="shared" si="20"/>
        <v>87685.597659284482</v>
      </c>
      <c r="I76" s="61">
        <f t="shared" si="20"/>
        <v>89561.878305564314</v>
      </c>
      <c r="J76" s="61">
        <f t="shared" si="20"/>
        <v>91559.635582581541</v>
      </c>
      <c r="K76" s="61">
        <f t="shared" si="20"/>
        <v>93595.36744776665</v>
      </c>
      <c r="L76" s="61">
        <f t="shared" si="20"/>
        <v>95762.361454260565</v>
      </c>
      <c r="M76" s="61">
        <f t="shared" si="20"/>
        <v>97791.383875799074</v>
      </c>
      <c r="N76" s="61">
        <f t="shared" si="20"/>
        <v>99955.88311677723</v>
      </c>
      <c r="O76" s="61">
        <f t="shared" si="20"/>
        <v>102167.05739529575</v>
      </c>
      <c r="P76" s="61">
        <f t="shared" si="20"/>
        <v>104520.9342524505</v>
      </c>
      <c r="Q76" s="61">
        <f t="shared" si="20"/>
        <v>106735.52621001541</v>
      </c>
    </row>
    <row r="77" spans="1:17" ht="13.5" thickTop="1" x14ac:dyDescent="0.2">
      <c r="B77" s="359"/>
      <c r="C77" s="198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</row>
    <row r="78" spans="1:17" x14ac:dyDescent="0.2">
      <c r="A78" s="46" t="s">
        <v>159</v>
      </c>
      <c r="C78" s="317">
        <f>'Data Property 4'!C161-'Input Property 4'!B20</f>
        <v>174</v>
      </c>
      <c r="D78" s="68">
        <f>'Data Property 4'!D161-'Data Property 4'!C161</f>
        <v>366</v>
      </c>
      <c r="E78" s="68">
        <f>'Data Property 4'!E161-'Data Property 4'!D161</f>
        <v>365</v>
      </c>
      <c r="F78" s="68">
        <f>'Data Property 4'!F161-'Data Property 4'!E161</f>
        <v>365</v>
      </c>
      <c r="G78" s="68">
        <f>'Data Property 4'!G161-'Data Property 4'!F161</f>
        <v>365</v>
      </c>
      <c r="H78" s="68">
        <f>'Data Property 4'!H161-'Data Property 4'!G161</f>
        <v>366</v>
      </c>
      <c r="I78" s="68">
        <f>'Data Property 4'!I161-'Data Property 4'!H161</f>
        <v>365</v>
      </c>
      <c r="J78" s="68">
        <f>'Data Property 4'!J161-'Data Property 4'!I161</f>
        <v>365</v>
      </c>
      <c r="K78" s="68">
        <f>'Data Property 4'!K161-'Data Property 4'!J161</f>
        <v>365</v>
      </c>
      <c r="L78" s="68">
        <f>'Data Property 4'!L161-'Data Property 4'!K161</f>
        <v>366</v>
      </c>
      <c r="M78" s="68">
        <f>'Data Property 4'!M161-'Data Property 4'!L161</f>
        <v>365</v>
      </c>
      <c r="N78" s="68">
        <f>'Data Property 4'!N161-'Data Property 4'!M161</f>
        <v>365</v>
      </c>
      <c r="O78" s="68">
        <f>'Data Property 4'!O161-'Data Property 4'!N161</f>
        <v>365</v>
      </c>
      <c r="P78" s="68">
        <f>'Data Property 4'!P161-'Data Property 4'!O161</f>
        <v>366</v>
      </c>
      <c r="Q78" s="68">
        <f>'Data Property 4'!Q161-'Data Property 4'!P161</f>
        <v>365</v>
      </c>
    </row>
    <row r="79" spans="1:17" x14ac:dyDescent="0.2">
      <c r="A79" s="46" t="s">
        <v>152</v>
      </c>
      <c r="C79" s="318">
        <f t="shared" ref="C79:Q79" si="21">C78-(C35*7)</f>
        <v>-176</v>
      </c>
      <c r="D79" s="65">
        <f t="shared" si="21"/>
        <v>16</v>
      </c>
      <c r="E79" s="65">
        <f t="shared" si="21"/>
        <v>15</v>
      </c>
      <c r="F79" s="65">
        <f t="shared" si="21"/>
        <v>15</v>
      </c>
      <c r="G79" s="65">
        <f t="shared" si="21"/>
        <v>15</v>
      </c>
      <c r="H79" s="65">
        <f t="shared" si="21"/>
        <v>16</v>
      </c>
      <c r="I79" s="65">
        <f t="shared" si="21"/>
        <v>15</v>
      </c>
      <c r="J79" s="65">
        <f t="shared" si="21"/>
        <v>15</v>
      </c>
      <c r="K79" s="65">
        <f t="shared" si="21"/>
        <v>15</v>
      </c>
      <c r="L79" s="65">
        <f t="shared" si="21"/>
        <v>16</v>
      </c>
      <c r="M79" s="65">
        <f t="shared" si="21"/>
        <v>15</v>
      </c>
      <c r="N79" s="65">
        <f t="shared" si="21"/>
        <v>15</v>
      </c>
      <c r="O79" s="65">
        <f t="shared" si="21"/>
        <v>15</v>
      </c>
      <c r="P79" s="65">
        <f t="shared" si="21"/>
        <v>16</v>
      </c>
      <c r="Q79" s="65">
        <f t="shared" si="21"/>
        <v>15</v>
      </c>
    </row>
    <row r="80" spans="1:17" x14ac:dyDescent="0.2">
      <c r="A80" s="49" t="s">
        <v>116</v>
      </c>
      <c r="B80" s="49"/>
      <c r="C80" s="319">
        <f>C40/'Input Property 4'!$B$5*365/C78</f>
        <v>2.9879896398250127E-2</v>
      </c>
      <c r="D80" s="50">
        <f>D40/'Input Property 4'!$B$5</f>
        <v>3.212047931446959E-2</v>
      </c>
      <c r="E80" s="50">
        <f>E40/'Input Property 4'!$B$5</f>
        <v>3.282995865160028E-2</v>
      </c>
      <c r="F80" s="50">
        <f>F40/'Input Property 4'!$B$5</f>
        <v>3.3650707617890283E-2</v>
      </c>
      <c r="G80" s="50">
        <f>G40/'Input Property 4'!$B$5</f>
        <v>3.4491975308337537E-2</v>
      </c>
      <c r="H80" s="50">
        <f>H40/'Input Property 4'!$B$5</f>
        <v>3.5454999120365191E-2</v>
      </c>
      <c r="I80" s="50">
        <f>I40/'Input Property 4'!$B$5</f>
        <v>3.6238131558322118E-2</v>
      </c>
      <c r="J80" s="50">
        <f>J40/'Input Property 4'!$B$5</f>
        <v>3.7144084847280164E-2</v>
      </c>
      <c r="K80" s="50">
        <f>K40/'Input Property 4'!$B$5</f>
        <v>3.8072686968462173E-2</v>
      </c>
      <c r="L80" s="50">
        <f>L40/'Input Property 4'!$B$5</f>
        <v>3.9135685066157118E-2</v>
      </c>
      <c r="M80" s="50">
        <f>M40/'Input Property 4'!$B$5</f>
        <v>4.0000116746240558E-2</v>
      </c>
      <c r="N80" s="50">
        <f>N40/'Input Property 4'!$B$5</f>
        <v>4.1000119664896563E-2</v>
      </c>
      <c r="O80" s="50">
        <f>O40/'Input Property 4'!$B$5</f>
        <v>4.2025122656518976E-2</v>
      </c>
      <c r="P80" s="50">
        <f>P40/'Input Property 4'!$B$5</f>
        <v>4.3198473659464512E-2</v>
      </c>
      <c r="Q80" s="50">
        <f>Q40/'Input Property 4'!$B$5</f>
        <v>4.4152644491005241E-2</v>
      </c>
    </row>
    <row r="81" spans="1:10" x14ac:dyDescent="0.2">
      <c r="A81" s="76"/>
      <c r="B81" s="76"/>
      <c r="C81" s="308"/>
      <c r="D81" s="204"/>
      <c r="E81" s="252"/>
      <c r="F81" s="253"/>
      <c r="G81" s="205"/>
      <c r="H81" s="206"/>
      <c r="I81" s="207"/>
      <c r="J81" s="76"/>
    </row>
    <row r="82" spans="1:10" x14ac:dyDescent="0.2">
      <c r="A82" s="76"/>
      <c r="B82" s="76"/>
      <c r="C82" s="308"/>
      <c r="D82" s="204"/>
      <c r="E82" s="252"/>
      <c r="F82" s="253"/>
      <c r="G82" s="205"/>
      <c r="H82" s="206"/>
      <c r="I82" s="207"/>
      <c r="J82" s="76"/>
    </row>
    <row r="83" spans="1:10" x14ac:dyDescent="0.2">
      <c r="A83" s="76"/>
      <c r="B83" s="76"/>
      <c r="C83" s="308"/>
      <c r="D83" s="204"/>
      <c r="E83" s="252"/>
      <c r="F83" s="253"/>
      <c r="G83" s="205"/>
      <c r="H83" s="206"/>
      <c r="I83" s="207"/>
      <c r="J83" s="76"/>
    </row>
    <row r="84" spans="1:10" x14ac:dyDescent="0.2">
      <c r="A84" s="76"/>
      <c r="B84" s="76"/>
      <c r="C84" s="308"/>
      <c r="D84" s="204"/>
      <c r="E84" s="252"/>
      <c r="F84" s="253"/>
      <c r="G84" s="205"/>
      <c r="H84" s="206"/>
      <c r="I84" s="207"/>
      <c r="J84" s="76"/>
    </row>
    <row r="85" spans="1:10" x14ac:dyDescent="0.2">
      <c r="A85" s="76"/>
      <c r="B85" s="76"/>
      <c r="C85" s="308"/>
      <c r="D85" s="204"/>
      <c r="E85" s="252"/>
      <c r="F85" s="253"/>
      <c r="G85" s="205"/>
      <c r="H85" s="206"/>
      <c r="I85" s="207"/>
      <c r="J85" s="76"/>
    </row>
    <row r="86" spans="1:10" x14ac:dyDescent="0.2">
      <c r="A86" s="76"/>
      <c r="B86" s="76"/>
      <c r="C86" s="308"/>
      <c r="D86" s="204"/>
      <c r="E86" s="252"/>
      <c r="F86" s="253"/>
      <c r="G86" s="205"/>
      <c r="H86" s="206"/>
      <c r="I86" s="207"/>
      <c r="J86" s="76"/>
    </row>
    <row r="87" spans="1:10" x14ac:dyDescent="0.2">
      <c r="A87" s="76"/>
      <c r="B87" s="76"/>
      <c r="C87" s="308"/>
      <c r="D87" s="204"/>
      <c r="E87" s="252"/>
      <c r="F87" s="253"/>
      <c r="G87" s="205"/>
      <c r="H87" s="206"/>
      <c r="I87" s="207"/>
      <c r="J87" s="76"/>
    </row>
    <row r="88" spans="1:10" x14ac:dyDescent="0.2">
      <c r="A88" s="76"/>
      <c r="B88" s="76"/>
      <c r="C88" s="308"/>
      <c r="D88" s="204"/>
      <c r="E88" s="252"/>
      <c r="F88" s="253"/>
      <c r="G88" s="205"/>
      <c r="H88" s="206"/>
      <c r="I88" s="207"/>
      <c r="J88" s="76"/>
    </row>
    <row r="89" spans="1:10" x14ac:dyDescent="0.2">
      <c r="A89" s="76"/>
      <c r="B89" s="76"/>
      <c r="C89" s="308"/>
      <c r="D89" s="204"/>
      <c r="E89" s="252"/>
      <c r="F89" s="253"/>
      <c r="G89" s="205"/>
      <c r="H89" s="206"/>
      <c r="I89" s="207"/>
      <c r="J89" s="76"/>
    </row>
    <row r="90" spans="1:10" x14ac:dyDescent="0.2">
      <c r="A90" s="76"/>
      <c r="B90" s="76"/>
      <c r="C90" s="308"/>
      <c r="D90" s="204"/>
      <c r="E90" s="252"/>
      <c r="F90" s="253"/>
      <c r="G90" s="205"/>
      <c r="H90" s="206"/>
      <c r="I90" s="207"/>
      <c r="J90" s="76"/>
    </row>
    <row r="91" spans="1:10" x14ac:dyDescent="0.2">
      <c r="A91" s="76"/>
      <c r="B91" s="76"/>
      <c r="C91" s="308"/>
      <c r="D91" s="204"/>
      <c r="E91" s="252"/>
      <c r="F91" s="253"/>
      <c r="G91" s="205"/>
      <c r="H91" s="206"/>
      <c r="I91" s="207"/>
      <c r="J91" s="76"/>
    </row>
    <row r="92" spans="1:10" x14ac:dyDescent="0.2">
      <c r="A92" s="76"/>
      <c r="B92" s="76"/>
      <c r="C92" s="308"/>
      <c r="D92" s="204"/>
      <c r="E92" s="252"/>
      <c r="F92" s="253"/>
      <c r="G92" s="205"/>
      <c r="H92" s="206"/>
      <c r="I92" s="207"/>
      <c r="J92" s="76"/>
    </row>
    <row r="93" spans="1:10" x14ac:dyDescent="0.2">
      <c r="A93" s="76"/>
      <c r="B93" s="76"/>
      <c r="C93" s="308"/>
      <c r="D93" s="204"/>
      <c r="E93" s="252"/>
      <c r="F93" s="253"/>
      <c r="G93" s="205"/>
      <c r="H93" s="206"/>
      <c r="I93" s="207"/>
      <c r="J93" s="76"/>
    </row>
    <row r="94" spans="1:10" x14ac:dyDescent="0.2">
      <c r="A94" s="76"/>
      <c r="B94" s="76"/>
      <c r="C94" s="308"/>
      <c r="D94" s="204"/>
      <c r="E94" s="252"/>
      <c r="F94" s="253"/>
      <c r="G94" s="205"/>
      <c r="H94" s="206"/>
      <c r="I94" s="207"/>
      <c r="J94" s="76"/>
    </row>
    <row r="95" spans="1:10" x14ac:dyDescent="0.2">
      <c r="A95" s="76"/>
      <c r="B95" s="76"/>
      <c r="C95" s="308"/>
      <c r="D95" s="204"/>
      <c r="E95" s="252"/>
      <c r="F95" s="253"/>
      <c r="G95" s="205"/>
      <c r="H95" s="206"/>
      <c r="I95" s="207"/>
      <c r="J95" s="76"/>
    </row>
    <row r="96" spans="1:10" x14ac:dyDescent="0.2">
      <c r="A96" s="76"/>
      <c r="B96" s="76"/>
      <c r="C96" s="308"/>
      <c r="D96" s="204"/>
      <c r="E96" s="252"/>
      <c r="F96" s="253"/>
      <c r="G96" s="205"/>
      <c r="H96" s="206"/>
      <c r="I96" s="207"/>
      <c r="J96" s="76"/>
    </row>
    <row r="97" spans="1:17" s="76" customFormat="1" x14ac:dyDescent="0.2">
      <c r="C97" s="308"/>
      <c r="D97" s="204"/>
      <c r="E97" s="252"/>
      <c r="F97" s="253"/>
      <c r="G97" s="205"/>
      <c r="H97" s="206"/>
      <c r="I97" s="207"/>
    </row>
    <row r="98" spans="1:17" s="374" customFormat="1" ht="18" x14ac:dyDescent="0.25">
      <c r="A98" s="375" t="s">
        <v>249</v>
      </c>
      <c r="B98" s="375"/>
      <c r="C98" s="376"/>
      <c r="D98" s="377"/>
      <c r="E98" s="377"/>
      <c r="F98" s="377"/>
      <c r="G98" s="377"/>
      <c r="H98" s="377"/>
      <c r="I98" s="377"/>
      <c r="J98" s="377"/>
      <c r="K98" s="377"/>
      <c r="L98" s="377"/>
      <c r="M98" s="377"/>
      <c r="N98" s="377"/>
      <c r="O98" s="377"/>
      <c r="P98" s="377"/>
      <c r="Q98" s="377"/>
    </row>
    <row r="99" spans="1:17" s="60" customFormat="1" x14ac:dyDescent="0.2">
      <c r="C99" s="292"/>
    </row>
    <row r="100" spans="1:17" x14ac:dyDescent="0.2">
      <c r="A100" s="129"/>
      <c r="B100" s="129"/>
      <c r="C100" s="321" t="s">
        <v>95</v>
      </c>
      <c r="D100" s="130" t="s">
        <v>96</v>
      </c>
      <c r="E100" s="130" t="s">
        <v>97</v>
      </c>
      <c r="F100" s="130" t="s">
        <v>98</v>
      </c>
      <c r="G100" s="130" t="s">
        <v>99</v>
      </c>
      <c r="H100" s="130" t="s">
        <v>100</v>
      </c>
      <c r="I100" s="130" t="s">
        <v>101</v>
      </c>
      <c r="J100" s="130" t="s">
        <v>102</v>
      </c>
      <c r="K100" s="130" t="s">
        <v>103</v>
      </c>
      <c r="L100" s="130" t="s">
        <v>104</v>
      </c>
      <c r="M100" s="130" t="s">
        <v>105</v>
      </c>
      <c r="N100" s="130" t="s">
        <v>106</v>
      </c>
      <c r="O100" s="130" t="s">
        <v>107</v>
      </c>
      <c r="P100" s="130" t="s">
        <v>108</v>
      </c>
      <c r="Q100" s="130" t="s">
        <v>109</v>
      </c>
    </row>
    <row r="101" spans="1:17" x14ac:dyDescent="0.2">
      <c r="A101" s="131" t="s">
        <v>94</v>
      </c>
      <c r="B101" s="131"/>
      <c r="C101" s="322"/>
      <c r="D101" s="260"/>
      <c r="E101" s="260"/>
      <c r="F101" s="260"/>
      <c r="G101" s="260"/>
      <c r="H101" s="260"/>
      <c r="I101" s="260"/>
      <c r="J101" s="260"/>
      <c r="K101" s="260"/>
      <c r="L101" s="260"/>
      <c r="M101" s="260"/>
      <c r="N101" s="260"/>
      <c r="O101" s="260"/>
      <c r="P101" s="260"/>
      <c r="Q101" s="260"/>
    </row>
    <row r="102" spans="1:17" x14ac:dyDescent="0.2">
      <c r="A102" s="132" t="s">
        <v>10</v>
      </c>
      <c r="B102" s="132"/>
      <c r="C102" s="323">
        <f>'Input Property 4'!B3+(('Input Property 4'!B3*'Input Property 4'!B52)*('Data Property 4'!C162/365))</f>
        <v>884598.35616438359</v>
      </c>
      <c r="D102" s="261">
        <f>C102+((C102*'Input Property 4'!C52)*('Data Property 4'!D162/('Data Property 4'!D161-'Data Property 4'!C161)))</f>
        <v>937674.25753424666</v>
      </c>
      <c r="E102" s="261">
        <f>D102+((D102*'Input Property 4'!D52)*('Data Property 4'!E162/('Data Property 4'!E161-'Data Property 4'!D161)))</f>
        <v>993934.7129863014</v>
      </c>
      <c r="F102" s="261">
        <f>E102+((E102*'Input Property 4'!E52)*('Data Property 4'!F162/('Data Property 4'!F161-'Data Property 4'!E161)))</f>
        <v>1053570.7957654796</v>
      </c>
      <c r="G102" s="261">
        <f>F102+((F102*'Input Property 4'!F52)*('Data Property 4'!G162/('Data Property 4'!G161-'Data Property 4'!F161)))</f>
        <v>1116785.0435114084</v>
      </c>
      <c r="H102" s="261">
        <f>G102+((G102*'Input Property 4'!G52)*('Data Property 4'!H162/('Data Property 4'!H161-'Data Property 4'!G161)))</f>
        <v>1183792.1461220928</v>
      </c>
      <c r="I102" s="261">
        <f>H102+((H102*'Input Property 4'!H52)*('Data Property 4'!I162/('Data Property 4'!I161-'Data Property 4'!H161)))</f>
        <v>1254819.6748894183</v>
      </c>
      <c r="J102" s="261">
        <f>I102+((I102*'Input Property 4'!I52)*('Data Property 4'!J162/('Data Property 4'!J161-'Data Property 4'!I161)))</f>
        <v>1330108.8553827833</v>
      </c>
      <c r="K102" s="261">
        <f>J102+((J102*'Input Property 4'!J52)*('Data Property 4'!K162/('Data Property 4'!K161-'Data Property 4'!J161)))</f>
        <v>1409915.3867057504</v>
      </c>
      <c r="L102" s="261">
        <f>K102+((K102*'Input Property 4'!K52)*('Data Property 4'!L162/('Data Property 4'!L161-'Data Property 4'!K161)))</f>
        <v>1494510.3099080953</v>
      </c>
      <c r="M102" s="261">
        <f>L102+((L102*'Input Property 4'!L52)*('Data Property 4'!M162/('Data Property 4'!M161-'Data Property 4'!L161)))</f>
        <v>1584180.9285025811</v>
      </c>
      <c r="N102" s="261">
        <f>M102+((M102*'Input Property 4'!M52)*('Data Property 4'!N162/('Data Property 4'!N161-'Data Property 4'!M161)))</f>
        <v>1679231.7842127359</v>
      </c>
      <c r="O102" s="261">
        <f>N102+((N102*'Input Property 4'!N52)*('Data Property 4'!O162/('Data Property 4'!O161-'Data Property 4'!N161)))</f>
        <v>1779985.6912655002</v>
      </c>
      <c r="P102" s="261">
        <f>O102+((O102*'Input Property 4'!O52)*('Data Property 4'!P162/('Data Property 4'!P161-'Data Property 4'!O161)))</f>
        <v>1886784.8327414303</v>
      </c>
      <c r="Q102" s="261">
        <f>P102+((P102*'Input Property 4'!P52)*('Data Property 4'!Q162/('Data Property 4'!Q161-'Data Property 4'!P161)))</f>
        <v>1999991.922705916</v>
      </c>
    </row>
    <row r="103" spans="1:17" x14ac:dyDescent="0.2">
      <c r="A103" s="132" t="s">
        <v>39</v>
      </c>
      <c r="B103" s="132"/>
      <c r="C103" s="323">
        <f>'Input Property 4'!B14</f>
        <v>751160</v>
      </c>
      <c r="D103" s="261">
        <f>IF('Input Property 4'!$B$33&gt;'Data Property 4'!C161,C103,0)</f>
        <v>751160</v>
      </c>
      <c r="E103" s="261">
        <f>IF('Input Property 4'!$B$33&gt;'Data Property 4'!D161,D103,0)</f>
        <v>751160</v>
      </c>
      <c r="F103" s="261">
        <f>IF('Input Property 4'!$B$33&gt;'Data Property 4'!E161,E103,0)</f>
        <v>751160</v>
      </c>
      <c r="G103" s="261">
        <f>IF('Input Property 4'!$B$33&gt;'Data Property 4'!F161,F103,0)</f>
        <v>751160</v>
      </c>
      <c r="H103" s="261">
        <f>IF('Input Property 4'!$B$33&gt;'Data Property 4'!G161,G103,0)</f>
        <v>751160</v>
      </c>
      <c r="I103" s="261">
        <f>IF('Input Property 4'!$B$33&gt;'Data Property 4'!H161,H103,0)</f>
        <v>751160</v>
      </c>
      <c r="J103" s="261">
        <f>IF('Input Property 4'!$B$33&gt;'Data Property 4'!I161,I103,0)</f>
        <v>751160</v>
      </c>
      <c r="K103" s="261">
        <f>IF('Input Property 4'!$B$33&gt;'Data Property 4'!J161,J103,0)</f>
        <v>751160</v>
      </c>
      <c r="L103" s="261">
        <f t="shared" ref="L103:Q103" si="22">K103</f>
        <v>751160</v>
      </c>
      <c r="M103" s="261">
        <f t="shared" si="22"/>
        <v>751160</v>
      </c>
      <c r="N103" s="261">
        <f t="shared" si="22"/>
        <v>751160</v>
      </c>
      <c r="O103" s="261">
        <f t="shared" si="22"/>
        <v>751160</v>
      </c>
      <c r="P103" s="261">
        <f t="shared" si="22"/>
        <v>751160</v>
      </c>
      <c r="Q103" s="261">
        <f t="shared" si="22"/>
        <v>751160</v>
      </c>
    </row>
    <row r="104" spans="1:17" x14ac:dyDescent="0.2">
      <c r="A104" s="248" t="s">
        <v>11</v>
      </c>
      <c r="B104" s="248"/>
      <c r="C104" s="323">
        <f>'Input Property 4'!$B$4</f>
        <v>130000</v>
      </c>
      <c r="D104" s="261">
        <f>'Input Property 4'!$B$4</f>
        <v>130000</v>
      </c>
      <c r="E104" s="261">
        <f>'Input Property 4'!$B$4</f>
        <v>130000</v>
      </c>
      <c r="F104" s="261">
        <f>'Input Property 4'!$B$4</f>
        <v>130000</v>
      </c>
      <c r="G104" s="261">
        <f>'Input Property 4'!$B$4</f>
        <v>130000</v>
      </c>
      <c r="H104" s="261">
        <f>'Input Property 4'!$B$4</f>
        <v>130000</v>
      </c>
      <c r="I104" s="261">
        <f>'Input Property 4'!$B$4</f>
        <v>130000</v>
      </c>
      <c r="J104" s="261">
        <f>'Input Property 4'!$B$4</f>
        <v>130000</v>
      </c>
      <c r="K104" s="261">
        <f>'Input Property 4'!$B$4</f>
        <v>130000</v>
      </c>
      <c r="L104" s="261">
        <f>'Input Property 4'!$B$4</f>
        <v>130000</v>
      </c>
      <c r="M104" s="261">
        <f>'Input Property 4'!$B$4</f>
        <v>130000</v>
      </c>
      <c r="N104" s="261">
        <f>'Input Property 4'!$B$4</f>
        <v>130000</v>
      </c>
      <c r="O104" s="261">
        <f>'Input Property 4'!$B$4</f>
        <v>130000</v>
      </c>
      <c r="P104" s="261">
        <f>'Input Property 4'!$B$4</f>
        <v>130000</v>
      </c>
      <c r="Q104" s="261">
        <f>'Input Property 4'!$B$4</f>
        <v>130000</v>
      </c>
    </row>
    <row r="105" spans="1:17" x14ac:dyDescent="0.2">
      <c r="A105" s="132" t="s">
        <v>84</v>
      </c>
      <c r="B105" s="132"/>
      <c r="C105" s="324">
        <f t="shared" ref="C105:Q105" si="23">C103/C102</f>
        <v>0.84915373713447539</v>
      </c>
      <c r="D105" s="262">
        <f t="shared" si="23"/>
        <v>0.80108843125893903</v>
      </c>
      <c r="E105" s="262">
        <f t="shared" si="23"/>
        <v>0.75574380307447075</v>
      </c>
      <c r="F105" s="262">
        <f t="shared" si="23"/>
        <v>0.71296585195704787</v>
      </c>
      <c r="G105" s="262">
        <f t="shared" si="23"/>
        <v>0.67260929429910177</v>
      </c>
      <c r="H105" s="262">
        <f t="shared" si="23"/>
        <v>0.63453707009349225</v>
      </c>
      <c r="I105" s="262">
        <f t="shared" si="23"/>
        <v>0.59861987744669087</v>
      </c>
      <c r="J105" s="262">
        <f t="shared" si="23"/>
        <v>0.56473573344027439</v>
      </c>
      <c r="K105" s="262">
        <f t="shared" si="23"/>
        <v>0.5327695598493154</v>
      </c>
      <c r="L105" s="262">
        <f t="shared" si="23"/>
        <v>0.50261279231067502</v>
      </c>
      <c r="M105" s="262">
        <f t="shared" si="23"/>
        <v>0.47416301161384428</v>
      </c>
      <c r="N105" s="262">
        <f t="shared" si="23"/>
        <v>0.44732359586211728</v>
      </c>
      <c r="O105" s="262">
        <f t="shared" si="23"/>
        <v>0.42200339232275214</v>
      </c>
      <c r="P105" s="262">
        <f t="shared" si="23"/>
        <v>0.39811640785165292</v>
      </c>
      <c r="Q105" s="262">
        <f t="shared" si="23"/>
        <v>0.37558151684118202</v>
      </c>
    </row>
    <row r="106" spans="1:17" x14ac:dyDescent="0.2">
      <c r="A106" s="132" t="s">
        <v>110</v>
      </c>
      <c r="B106" s="132"/>
      <c r="C106" s="325">
        <f t="shared" ref="C106:Q106" si="24">C102-C103</f>
        <v>133438.35616438359</v>
      </c>
      <c r="D106" s="263">
        <f t="shared" si="24"/>
        <v>186514.25753424666</v>
      </c>
      <c r="E106" s="263">
        <f t="shared" si="24"/>
        <v>242774.7129863014</v>
      </c>
      <c r="F106" s="263">
        <f t="shared" si="24"/>
        <v>302410.79576547956</v>
      </c>
      <c r="G106" s="263">
        <f t="shared" si="24"/>
        <v>365625.04351140838</v>
      </c>
      <c r="H106" s="263">
        <f t="shared" si="24"/>
        <v>432632.14612209285</v>
      </c>
      <c r="I106" s="263">
        <f t="shared" si="24"/>
        <v>503659.6748894183</v>
      </c>
      <c r="J106" s="263">
        <f t="shared" si="24"/>
        <v>578948.85538278334</v>
      </c>
      <c r="K106" s="263">
        <f t="shared" si="24"/>
        <v>658755.38670575037</v>
      </c>
      <c r="L106" s="263">
        <f t="shared" si="24"/>
        <v>743350.30990809528</v>
      </c>
      <c r="M106" s="263">
        <f t="shared" si="24"/>
        <v>833020.92850258108</v>
      </c>
      <c r="N106" s="263">
        <f t="shared" si="24"/>
        <v>928071.78421273595</v>
      </c>
      <c r="O106" s="263">
        <f t="shared" si="24"/>
        <v>1028825.6912655002</v>
      </c>
      <c r="P106" s="263">
        <f t="shared" si="24"/>
        <v>1135624.8327414303</v>
      </c>
      <c r="Q106" s="263">
        <f t="shared" si="24"/>
        <v>1248831.922705916</v>
      </c>
    </row>
    <row r="107" spans="1:17" ht="22.5" x14ac:dyDescent="0.2">
      <c r="A107" s="133" t="s">
        <v>111</v>
      </c>
      <c r="B107" s="133"/>
      <c r="C107" s="325">
        <f>(C102*'Input Property 4'!B56)-C103</f>
        <v>44978.520547945285</v>
      </c>
      <c r="D107" s="263">
        <f>(D102*'Input Property 4'!C56)-D103</f>
        <v>92746.831780822016</v>
      </c>
      <c r="E107" s="263">
        <f>(E102*'Input Property 4'!D56)-E103</f>
        <v>143381.24168767128</v>
      </c>
      <c r="F107" s="263">
        <f>(F102*'Input Property 4'!E56)-F103</f>
        <v>197053.7161889316</v>
      </c>
      <c r="G107" s="263">
        <f>(G102*'Input Property 4'!F56)-G103</f>
        <v>253946.53916026757</v>
      </c>
      <c r="H107" s="263">
        <f>(H102*'Input Property 4'!G56)-H103</f>
        <v>314252.93150988361</v>
      </c>
      <c r="I107" s="263">
        <f>(I102*'Input Property 4'!H56)-I103</f>
        <v>378177.70740047656</v>
      </c>
      <c r="J107" s="263">
        <f>(J102*'Input Property 4'!I56)-J103</f>
        <v>445937.96984450496</v>
      </c>
      <c r="K107" s="263">
        <f>(K102*'Input Property 4'!J56)-K103</f>
        <v>517763.84803517535</v>
      </c>
      <c r="L107" s="263">
        <f>(L102*'Input Property 4'!K56)-L103</f>
        <v>593899.27891728585</v>
      </c>
      <c r="M107" s="263">
        <f>(M102*'Input Property 4'!L56)-M103</f>
        <v>674602.83565232297</v>
      </c>
      <c r="N107" s="263">
        <f>(N102*'Input Property 4'!M56)-N103</f>
        <v>760148.60579146235</v>
      </c>
      <c r="O107" s="263">
        <f>(O102*'Input Property 4'!N56)-O103</f>
        <v>850827.12213895028</v>
      </c>
      <c r="P107" s="263">
        <f>(P102*'Input Property 4'!O56)-P103</f>
        <v>946946.34946728731</v>
      </c>
      <c r="Q107" s="263">
        <f>(Q102*'Input Property 4'!P56)-Q103</f>
        <v>1048832.7304353244</v>
      </c>
    </row>
    <row r="108" spans="1:17" x14ac:dyDescent="0.2">
      <c r="A108" s="134" t="s">
        <v>208</v>
      </c>
      <c r="B108" s="134"/>
      <c r="C108" s="326">
        <f>C102-C103</f>
        <v>133438.35616438359</v>
      </c>
      <c r="D108" s="264">
        <f t="shared" ref="D108:Q108" si="25">IF(D102=0,0,D102-C102)</f>
        <v>53075.901369863073</v>
      </c>
      <c r="E108" s="264">
        <f t="shared" si="25"/>
        <v>56260.455452054739</v>
      </c>
      <c r="F108" s="264">
        <f t="shared" si="25"/>
        <v>59636.082779178163</v>
      </c>
      <c r="G108" s="264">
        <f t="shared" si="25"/>
        <v>63214.24774592882</v>
      </c>
      <c r="H108" s="264">
        <f t="shared" si="25"/>
        <v>67007.102610684466</v>
      </c>
      <c r="I108" s="264">
        <f t="shared" si="25"/>
        <v>71027.52876732545</v>
      </c>
      <c r="J108" s="264">
        <f t="shared" si="25"/>
        <v>75289.180493365042</v>
      </c>
      <c r="K108" s="264">
        <f t="shared" si="25"/>
        <v>79806.531322967028</v>
      </c>
      <c r="L108" s="264">
        <f t="shared" si="25"/>
        <v>84594.923202344915</v>
      </c>
      <c r="M108" s="264">
        <f t="shared" si="25"/>
        <v>89670.618594485801</v>
      </c>
      <c r="N108" s="264">
        <f t="shared" si="25"/>
        <v>95050.855710154865</v>
      </c>
      <c r="O108" s="264">
        <f t="shared" si="25"/>
        <v>100753.9070527642</v>
      </c>
      <c r="P108" s="264">
        <f t="shared" si="25"/>
        <v>106799.14147593011</v>
      </c>
      <c r="Q108" s="264">
        <f t="shared" si="25"/>
        <v>113207.08996448573</v>
      </c>
    </row>
    <row r="109" spans="1:17" x14ac:dyDescent="0.2">
      <c r="A109" s="129"/>
      <c r="B109" s="129"/>
      <c r="C109" s="322"/>
      <c r="D109" s="260"/>
      <c r="E109" s="260"/>
      <c r="F109" s="260"/>
      <c r="G109" s="260"/>
      <c r="H109" s="260"/>
      <c r="I109" s="260"/>
      <c r="J109" s="260"/>
      <c r="K109" s="260"/>
      <c r="L109" s="260"/>
      <c r="M109" s="260"/>
      <c r="N109" s="260"/>
      <c r="O109" s="260"/>
      <c r="P109" s="260"/>
      <c r="Q109" s="260"/>
    </row>
    <row r="110" spans="1:17" x14ac:dyDescent="0.2">
      <c r="A110" s="132" t="s">
        <v>122</v>
      </c>
      <c r="B110" s="132"/>
      <c r="C110" s="327">
        <f>'Data Property 4'!C165</f>
        <v>12571.428571428572</v>
      </c>
      <c r="D110" s="265">
        <f>'Data Property 4'!D165</f>
        <v>28348.571428571428</v>
      </c>
      <c r="E110" s="265">
        <f>'Data Property 4'!E165</f>
        <v>28974.736607142859</v>
      </c>
      <c r="F110" s="265">
        <f>'Data Property 4'!F165</f>
        <v>29699.105022321426</v>
      </c>
      <c r="G110" s="265">
        <f>'Data Property 4'!G165</f>
        <v>30441.582647879462</v>
      </c>
      <c r="H110" s="265">
        <f>'Data Property 4'!H165</f>
        <v>31291.518573660705</v>
      </c>
      <c r="I110" s="265">
        <f>'Data Property 4'!I165</f>
        <v>31982.68776942835</v>
      </c>
      <c r="J110" s="265">
        <f>'Data Property 4'!J165</f>
        <v>32782.254963664054</v>
      </c>
      <c r="K110" s="265">
        <f>'Data Property 4'!K165</f>
        <v>33601.811337755658</v>
      </c>
      <c r="L110" s="265">
        <f>'Data Property 4'!L165</f>
        <v>34539.981568838288</v>
      </c>
      <c r="M110" s="265">
        <f>'Data Property 4'!M165</f>
        <v>35302.903036729527</v>
      </c>
      <c r="N110" s="265">
        <f>'Data Property 4'!N165</f>
        <v>36185.475612647759</v>
      </c>
      <c r="O110" s="265">
        <f>'Data Property 4'!O165</f>
        <v>37090.112502963952</v>
      </c>
      <c r="P110" s="265">
        <f>'Data Property 4'!P165</f>
        <v>38125.676897633595</v>
      </c>
      <c r="Q110" s="265">
        <f>'Data Property 4'!Q165</f>
        <v>38967.799448426493</v>
      </c>
    </row>
    <row r="111" spans="1:17" x14ac:dyDescent="0.2">
      <c r="A111" s="134" t="s">
        <v>210</v>
      </c>
      <c r="B111" s="134"/>
      <c r="C111" s="328">
        <f t="shared" ref="C111:Q111" si="26">C80</f>
        <v>2.9879896398250127E-2</v>
      </c>
      <c r="D111" s="266">
        <f t="shared" si="26"/>
        <v>3.212047931446959E-2</v>
      </c>
      <c r="E111" s="266">
        <f t="shared" si="26"/>
        <v>3.282995865160028E-2</v>
      </c>
      <c r="F111" s="266">
        <f t="shared" si="26"/>
        <v>3.3650707617890283E-2</v>
      </c>
      <c r="G111" s="266">
        <f t="shared" si="26"/>
        <v>3.4491975308337537E-2</v>
      </c>
      <c r="H111" s="266">
        <f t="shared" si="26"/>
        <v>3.5454999120365191E-2</v>
      </c>
      <c r="I111" s="266">
        <f t="shared" si="26"/>
        <v>3.6238131558322118E-2</v>
      </c>
      <c r="J111" s="266">
        <f t="shared" si="26"/>
        <v>3.7144084847280164E-2</v>
      </c>
      <c r="K111" s="266">
        <f t="shared" si="26"/>
        <v>3.8072686968462173E-2</v>
      </c>
      <c r="L111" s="266">
        <f t="shared" si="26"/>
        <v>3.9135685066157118E-2</v>
      </c>
      <c r="M111" s="266">
        <f t="shared" si="26"/>
        <v>4.0000116746240558E-2</v>
      </c>
      <c r="N111" s="266">
        <f t="shared" si="26"/>
        <v>4.1000119664896563E-2</v>
      </c>
      <c r="O111" s="266">
        <f t="shared" si="26"/>
        <v>4.2025122656518976E-2</v>
      </c>
      <c r="P111" s="266">
        <f t="shared" si="26"/>
        <v>4.3198473659464512E-2</v>
      </c>
      <c r="Q111" s="266">
        <f t="shared" si="26"/>
        <v>4.4152644491005241E-2</v>
      </c>
    </row>
    <row r="112" spans="1:17" x14ac:dyDescent="0.2">
      <c r="A112" s="129" t="str">
        <f>'Data Property 4'!A193</f>
        <v>Property Expenses</v>
      </c>
      <c r="B112" s="129"/>
      <c r="C112" s="327">
        <f>'Data Property 4'!C186</f>
        <v>3327.1410958904112</v>
      </c>
      <c r="D112" s="265">
        <f>'Data Property 4'!D186</f>
        <v>6519.7687499999993</v>
      </c>
      <c r="E112" s="265">
        <f>'Data Property 4'!E186</f>
        <v>6676.9845312499992</v>
      </c>
      <c r="F112" s="265">
        <f>'Data Property 4'!F186</f>
        <v>6843.9091445312497</v>
      </c>
      <c r="G112" s="265">
        <f>'Data Property 4'!G186</f>
        <v>7015.0068731445308</v>
      </c>
      <c r="H112" s="265">
        <f>'Data Property 4'!H186</f>
        <v>7196.6047901440415</v>
      </c>
      <c r="I112" s="265">
        <f>'Data Property 4'!I186</f>
        <v>7370.1415960974709</v>
      </c>
      <c r="J112" s="265">
        <f>'Data Property 4'!J186</f>
        <v>7554.3951359999064</v>
      </c>
      <c r="K112" s="265">
        <f>'Data Property 4'!K186</f>
        <v>7743.2550143999051</v>
      </c>
      <c r="L112" s="265">
        <f>'Data Property 4'!L186</f>
        <v>7943.7051360946134</v>
      </c>
      <c r="M112" s="265">
        <f>'Data Property 4'!M186</f>
        <v>8135.257299503899</v>
      </c>
      <c r="N112" s="265">
        <f>'Data Property 4'!N186</f>
        <v>8338.6387319914938</v>
      </c>
      <c r="O112" s="265">
        <f>'Data Property 4'!O186</f>
        <v>8547.1047002912819</v>
      </c>
      <c r="P112" s="265">
        <f>'Data Property 4'!P186</f>
        <v>8768.3641285452504</v>
      </c>
      <c r="Q112" s="265">
        <f>'Data Property 4'!Q186</f>
        <v>8979.8018757435257</v>
      </c>
    </row>
    <row r="113" spans="1:17" x14ac:dyDescent="0.2">
      <c r="A113" s="129" t="str">
        <f>'Data Property 4'!A194</f>
        <v>Total Cash Deductions</v>
      </c>
      <c r="B113" s="360"/>
      <c r="C113" s="327">
        <f>'Data Property 4'!C187</f>
        <v>16410.44993972603</v>
      </c>
      <c r="D113" s="265">
        <f>'Data Property 4'!D187</f>
        <v>34039.832180136989</v>
      </c>
      <c r="E113" s="265">
        <f>'Data Property 4'!E187</f>
        <v>34121.85653125</v>
      </c>
      <c r="F113" s="265">
        <f>'Data Property 4'!F187</f>
        <v>34288.781144531255</v>
      </c>
      <c r="G113" s="265">
        <f>'Data Property 4'!G187</f>
        <v>34459.878873144531</v>
      </c>
      <c r="H113" s="265">
        <f>'Data Property 4'!H187</f>
        <v>34716.668220281033</v>
      </c>
      <c r="I113" s="265">
        <f>'Data Property 4'!I187</f>
        <v>34815.013596097473</v>
      </c>
      <c r="J113" s="265">
        <f>'Data Property 4'!J187</f>
        <v>34999.267135999908</v>
      </c>
      <c r="K113" s="265">
        <f>'Data Property 4'!K187</f>
        <v>35188.127014399906</v>
      </c>
      <c r="L113" s="265">
        <f>'Data Property 4'!L187</f>
        <v>35463.768566231607</v>
      </c>
      <c r="M113" s="265">
        <f>'Data Property 4'!M187</f>
        <v>35580.129299503904</v>
      </c>
      <c r="N113" s="265">
        <f>'Data Property 4'!N187</f>
        <v>35783.510731991497</v>
      </c>
      <c r="O113" s="265">
        <f>'Data Property 4'!O187</f>
        <v>35991.976700291285</v>
      </c>
      <c r="P113" s="265">
        <f>'Data Property 4'!P187</f>
        <v>36288.427558682248</v>
      </c>
      <c r="Q113" s="265">
        <f>'Data Property 4'!Q187</f>
        <v>36424.673875743531</v>
      </c>
    </row>
    <row r="114" spans="1:17" x14ac:dyDescent="0.2">
      <c r="A114" s="129"/>
      <c r="B114" s="361"/>
      <c r="C114" s="329"/>
      <c r="D114" s="267"/>
      <c r="E114" s="267"/>
      <c r="F114" s="267"/>
      <c r="G114" s="267"/>
      <c r="H114" s="267"/>
      <c r="I114" s="267"/>
      <c r="J114" s="267"/>
      <c r="K114" s="267"/>
      <c r="L114" s="267"/>
      <c r="M114" s="267"/>
      <c r="N114" s="267"/>
      <c r="O114" s="267"/>
      <c r="P114" s="267"/>
      <c r="Q114" s="267"/>
    </row>
    <row r="115" spans="1:17" x14ac:dyDescent="0.2">
      <c r="A115" s="129" t="str">
        <f>'Data Property 4'!A188</f>
        <v>Pre-Tax Cash Flow</v>
      </c>
      <c r="B115" s="362"/>
      <c r="C115" s="330">
        <f>'Data Property 4'!C189</f>
        <v>-3839.0213682974572</v>
      </c>
      <c r="D115" s="268">
        <f>'Data Property 4'!D189</f>
        <v>-5691.2607515655618</v>
      </c>
      <c r="E115" s="268">
        <f>'Data Property 4'!E189</f>
        <v>-5147.1199241071408</v>
      </c>
      <c r="F115" s="268">
        <f>'Data Property 4'!F189</f>
        <v>-4589.6761222098285</v>
      </c>
      <c r="G115" s="268">
        <f>'Data Property 4'!G189</f>
        <v>-4018.2962252650686</v>
      </c>
      <c r="H115" s="268">
        <f>'Data Property 4'!H189</f>
        <v>-3425.149646620328</v>
      </c>
      <c r="I115" s="268">
        <f>'Data Property 4'!I189</f>
        <v>-2832.3258266691228</v>
      </c>
      <c r="J115" s="268">
        <f>'Data Property 4'!J189</f>
        <v>-2217.0121723358534</v>
      </c>
      <c r="K115" s="268">
        <f>'Data Property 4'!K189</f>
        <v>-1586.315676644248</v>
      </c>
      <c r="L115" s="268">
        <f>'Data Property 4'!L189</f>
        <v>-923.78699739331933</v>
      </c>
      <c r="M115" s="268">
        <f>'Data Property 4'!M189</f>
        <v>-277.22626277437666</v>
      </c>
      <c r="N115" s="268">
        <f>'Data Property 4'!N189</f>
        <v>401.96488065626181</v>
      </c>
      <c r="O115" s="268">
        <f>'Data Property 4'!O189</f>
        <v>1098.1358026726666</v>
      </c>
      <c r="P115" s="268">
        <f>'Data Property 4'!P189</f>
        <v>1837.2493389513475</v>
      </c>
      <c r="Q115" s="268">
        <f>'Data Property 4'!Q189</f>
        <v>2543.1255726829622</v>
      </c>
    </row>
    <row r="116" spans="1:17" x14ac:dyDescent="0.2">
      <c r="A116" s="135" t="str">
        <f>'Data Property 4'!A202</f>
        <v>Net Income</v>
      </c>
      <c r="B116" s="363"/>
      <c r="C116" s="327">
        <f>'Data Property 4'!C202</f>
        <v>-5701.0213682974572</v>
      </c>
      <c r="D116" s="265">
        <f>'Data Property 4'!D202</f>
        <v>-7103.2607515655618</v>
      </c>
      <c r="E116" s="265">
        <f>'Data Property 4'!E202</f>
        <v>-6244.1199241071408</v>
      </c>
      <c r="F116" s="265">
        <f>'Data Property 4'!F202</f>
        <v>-5466.1761222098285</v>
      </c>
      <c r="G116" s="265">
        <f>'Data Property 4'!G202</f>
        <v>-4740.4462252650701</v>
      </c>
      <c r="H116" s="265">
        <f>'Data Property 4'!H202</f>
        <v>-3677.2546466203312</v>
      </c>
      <c r="I116" s="265">
        <f>'Data Property 4'!I202</f>
        <v>-3008.7993266691228</v>
      </c>
      <c r="J116" s="265">
        <f>'Data Property 4'!J202</f>
        <v>-2340.5436223358556</v>
      </c>
      <c r="K116" s="265">
        <f>'Data Property 4'!K202</f>
        <v>-1672.7876916442474</v>
      </c>
      <c r="L116" s="265">
        <f>'Data Property 4'!L202</f>
        <v>-984.31740789332252</v>
      </c>
      <c r="M116" s="265">
        <f>'Data Property 4'!M202</f>
        <v>-319.59755012437381</v>
      </c>
      <c r="N116" s="265">
        <f>'Data Property 4'!N202</f>
        <v>372.30497951126017</v>
      </c>
      <c r="O116" s="265">
        <f>'Data Property 4'!O202</f>
        <v>1077.3738718711684</v>
      </c>
      <c r="P116" s="265">
        <f>'Data Property 4'!P202</f>
        <v>1822.7159873903001</v>
      </c>
      <c r="Q116" s="265">
        <f>'Data Property 4'!Q202</f>
        <v>2532.9522265902269</v>
      </c>
    </row>
    <row r="117" spans="1:17" x14ac:dyDescent="0.2">
      <c r="A117" s="135" t="s">
        <v>206</v>
      </c>
      <c r="B117" s="363"/>
      <c r="C117" s="327">
        <f>'Data Property 4'!C211</f>
        <v>1103.7463838160438</v>
      </c>
      <c r="D117" s="265">
        <f>'Data Property 4'!D211</f>
        <v>1235.6353692783814</v>
      </c>
      <c r="E117" s="265">
        <f>'Data Property 4'!E211</f>
        <v>1098.2692016348228</v>
      </c>
      <c r="F117" s="265">
        <f>'Data Property 4'!F211</f>
        <v>973.79744013735763</v>
      </c>
      <c r="G117" s="265">
        <f>'Data Property 4'!G211</f>
        <v>858.42693837360275</v>
      </c>
      <c r="H117" s="265">
        <f>'Data Property 4'!H211</f>
        <v>678.60041016228934</v>
      </c>
      <c r="I117" s="265">
        <f>'Data Property 4'!I211</f>
        <v>573.97177752386779</v>
      </c>
      <c r="J117" s="265">
        <f>'Data Property 4'!J211</f>
        <v>467.24569161160616</v>
      </c>
      <c r="K117" s="265">
        <f>'Data Property 4'!K211</f>
        <v>359.8359965171112</v>
      </c>
      <c r="L117" s="265">
        <f>'Data Property 4'!L211</f>
        <v>246.50659345001623</v>
      </c>
      <c r="M117" s="265">
        <f>'Data Property 4'!M211</f>
        <v>139.16951006620366</v>
      </c>
      <c r="N117" s="265">
        <f>'Data Property 4'!N211</f>
        <v>24.584241785189079</v>
      </c>
      <c r="O117" s="265">
        <f>'Data Property 4'!O211</f>
        <v>-93.476804640602495</v>
      </c>
      <c r="P117" s="265">
        <f>'Data Property 4'!P211</f>
        <v>-221.23083316526026</v>
      </c>
      <c r="Q117" s="265">
        <f>'Data Property 4'!Q211</f>
        <v>-341.42550314270193</v>
      </c>
    </row>
    <row r="118" spans="1:17" x14ac:dyDescent="0.2">
      <c r="A118" s="129" t="s">
        <v>207</v>
      </c>
      <c r="B118" s="361"/>
      <c r="C118" s="331">
        <f>'Data Property 4'!C220</f>
        <v>1103.7463838160475</v>
      </c>
      <c r="D118" s="269">
        <f>'Data Property 4'!D220</f>
        <v>1235.6353692783741</v>
      </c>
      <c r="E118" s="269">
        <f>'Data Property 4'!E220</f>
        <v>1098.2692016348228</v>
      </c>
      <c r="F118" s="269">
        <f>'Data Property 4'!F220</f>
        <v>973.79744013735399</v>
      </c>
      <c r="G118" s="269">
        <f>'Data Property 4'!G220</f>
        <v>858.42693837360275</v>
      </c>
      <c r="H118" s="269">
        <f>'Data Property 4'!H220</f>
        <v>678.60041016228206</v>
      </c>
      <c r="I118" s="269">
        <f>'Data Property 4'!I220</f>
        <v>573.97177752386415</v>
      </c>
      <c r="J118" s="269">
        <f>'Data Property 4'!J220</f>
        <v>467.24569161161344</v>
      </c>
      <c r="K118" s="269">
        <f>'Data Property 4'!K220</f>
        <v>359.83599651710756</v>
      </c>
      <c r="L118" s="269">
        <f>'Data Property 4'!L220</f>
        <v>246.50659345001623</v>
      </c>
      <c r="M118" s="269">
        <f>'Data Property 4'!M220</f>
        <v>139.16951006619638</v>
      </c>
      <c r="N118" s="269">
        <f>'Data Property 4'!N220</f>
        <v>24.584241785185441</v>
      </c>
      <c r="O118" s="269">
        <f>'Data Property 4'!O220</f>
        <v>-93.476804640602495</v>
      </c>
      <c r="P118" s="269">
        <f>'Data Property 4'!P220</f>
        <v>-221.23083316526754</v>
      </c>
      <c r="Q118" s="269">
        <f>'Data Property 4'!Q220</f>
        <v>-341.42550314270193</v>
      </c>
    </row>
    <row r="119" spans="1:17" ht="13.5" thickBot="1" x14ac:dyDescent="0.25">
      <c r="A119" s="131" t="str">
        <f>'Data Property 4'!A223</f>
        <v>After-tax Cash Flow</v>
      </c>
      <c r="B119" s="364"/>
      <c r="C119" s="332">
        <f>'Data Property 4'!C224</f>
        <v>-1631.528600665366</v>
      </c>
      <c r="D119" s="270">
        <f>'Data Property 4'!D224</f>
        <v>-3219.9900130088063</v>
      </c>
      <c r="E119" s="270">
        <f>'Data Property 4'!E224</f>
        <v>-2950.5815208374952</v>
      </c>
      <c r="F119" s="270">
        <f>'Data Property 4'!F224</f>
        <v>-2642.0812419351169</v>
      </c>
      <c r="G119" s="270">
        <f>'Data Property 4'!G224</f>
        <v>-2301.4423485178631</v>
      </c>
      <c r="H119" s="270">
        <f>'Data Property 4'!H224</f>
        <v>-2067.9488262957566</v>
      </c>
      <c r="I119" s="270">
        <f>'Data Property 4'!I224</f>
        <v>-1684.3822716213908</v>
      </c>
      <c r="J119" s="270">
        <f>'Data Property 4'!J224</f>
        <v>-1282.5207891126338</v>
      </c>
      <c r="K119" s="270">
        <f>'Data Property 4'!K224</f>
        <v>-866.64368361002926</v>
      </c>
      <c r="L119" s="270">
        <f>'Data Property 4'!L224</f>
        <v>-430.77381049328687</v>
      </c>
      <c r="M119" s="270">
        <f>'Data Property 4'!M224</f>
        <v>1.1127573580233729</v>
      </c>
      <c r="N119" s="270">
        <f>'Data Property 4'!N224</f>
        <v>451.13336422663633</v>
      </c>
      <c r="O119" s="270">
        <f>'Data Property 4'!O224</f>
        <v>911.18219339146162</v>
      </c>
      <c r="P119" s="270">
        <f>'Data Property 4'!P224</f>
        <v>1394.7876726208196</v>
      </c>
      <c r="Q119" s="270">
        <f>'Data Property 4'!Q224</f>
        <v>1860.2745663975584</v>
      </c>
    </row>
    <row r="120" spans="1:17" ht="13.5" thickTop="1" x14ac:dyDescent="0.2">
      <c r="A120" s="196" t="s">
        <v>246</v>
      </c>
      <c r="B120" s="365"/>
      <c r="C120" s="333">
        <f>C119</f>
        <v>-1631.528600665366</v>
      </c>
      <c r="D120" s="271">
        <f t="shared" ref="D120:Q120" si="27">C120+D119</f>
        <v>-4851.5186136741722</v>
      </c>
      <c r="E120" s="271">
        <f t="shared" si="27"/>
        <v>-7802.1001345116674</v>
      </c>
      <c r="F120" s="271">
        <f t="shared" si="27"/>
        <v>-10444.181376446784</v>
      </c>
      <c r="G120" s="271">
        <f t="shared" si="27"/>
        <v>-12745.623724964647</v>
      </c>
      <c r="H120" s="271">
        <f t="shared" si="27"/>
        <v>-14813.572551260404</v>
      </c>
      <c r="I120" s="271">
        <f t="shared" si="27"/>
        <v>-16497.954822881795</v>
      </c>
      <c r="J120" s="271">
        <f t="shared" si="27"/>
        <v>-17780.475611994429</v>
      </c>
      <c r="K120" s="271">
        <f t="shared" si="27"/>
        <v>-18647.119295604458</v>
      </c>
      <c r="L120" s="271">
        <f t="shared" si="27"/>
        <v>-19077.893106097745</v>
      </c>
      <c r="M120" s="271">
        <f t="shared" si="27"/>
        <v>-19076.780348739721</v>
      </c>
      <c r="N120" s="271">
        <f t="shared" si="27"/>
        <v>-18625.646984513085</v>
      </c>
      <c r="O120" s="271">
        <f t="shared" si="27"/>
        <v>-17714.464791121623</v>
      </c>
      <c r="P120" s="271">
        <f t="shared" si="27"/>
        <v>-16319.677118500804</v>
      </c>
      <c r="Q120" s="271">
        <f t="shared" si="27"/>
        <v>-14459.402552103245</v>
      </c>
    </row>
    <row r="121" spans="1:17" x14ac:dyDescent="0.2">
      <c r="A121" s="129"/>
      <c r="B121" s="281"/>
      <c r="C121" s="334"/>
      <c r="D121" s="272"/>
      <c r="E121" s="272"/>
      <c r="F121" s="272"/>
      <c r="G121" s="272"/>
      <c r="H121" s="272"/>
      <c r="I121" s="272"/>
      <c r="J121" s="272"/>
      <c r="K121" s="272"/>
      <c r="L121" s="272"/>
      <c r="M121" s="272"/>
      <c r="N121" s="272"/>
      <c r="O121" s="272"/>
      <c r="P121" s="272"/>
      <c r="Q121" s="272"/>
    </row>
    <row r="122" spans="1:17" x14ac:dyDescent="0.2">
      <c r="A122" s="131" t="s">
        <v>209</v>
      </c>
      <c r="B122" s="131"/>
      <c r="C122" s="335">
        <f>C119+C108-C104</f>
        <v>1806.8275637182232</v>
      </c>
      <c r="D122" s="273">
        <f>IF('Data Property 4'!C161&lt;'Input Property 4'!$B$33,D119+D108,0)</f>
        <v>49855.911356854267</v>
      </c>
      <c r="E122" s="273">
        <f>IF('Data Property 4'!D161&lt;'Input Property 4'!$B$33,E119+E108,0)</f>
        <v>53309.87393121724</v>
      </c>
      <c r="F122" s="273">
        <f>IF('Data Property 4'!E161&lt;'Input Property 4'!$B$33,F119+F108,0)</f>
        <v>56994.00153724305</v>
      </c>
      <c r="G122" s="273">
        <f>IF('Data Property 4'!F161&lt;'Input Property 4'!$B$33,G119+G108,0)</f>
        <v>60912.805397410957</v>
      </c>
      <c r="H122" s="273">
        <f>IF('Data Property 4'!G161&lt;'Input Property 4'!$B$33,H119+H108,0)</f>
        <v>64939.153784388705</v>
      </c>
      <c r="I122" s="273">
        <f>IF('Data Property 4'!H161&lt;'Input Property 4'!$B$33,I119+I108,0)</f>
        <v>69343.146495704059</v>
      </c>
      <c r="J122" s="273">
        <f>IF('Data Property 4'!I161&lt;'Input Property 4'!$B$33,J119+J108,0)</f>
        <v>74006.659704252408</v>
      </c>
      <c r="K122" s="273">
        <f>IF('Data Property 4'!J161&lt;'Input Property 4'!$B$33,K119+K108,0)</f>
        <v>78939.887639356995</v>
      </c>
      <c r="L122" s="273">
        <f>IF('Data Property 4'!K161&lt;'Input Property 4'!$B$33,L119+L108,0)</f>
        <v>84164.149391851621</v>
      </c>
      <c r="M122" s="273">
        <f>IF('Data Property 4'!L161&lt;'Input Property 4'!$B$33,M119+M108,0)</f>
        <v>89671.731351843831</v>
      </c>
      <c r="N122" s="273">
        <f>IF('Data Property 4'!M161&lt;'Input Property 4'!$B$33,N119+N108,0)</f>
        <v>95501.989074381505</v>
      </c>
      <c r="O122" s="273">
        <f>IF('Data Property 4'!N161&lt;'Input Property 4'!$B$33,O119+O108,0)</f>
        <v>101665.08924615567</v>
      </c>
      <c r="P122" s="273">
        <f>IF('Data Property 4'!O161&lt;'Input Property 4'!$B$33,P119+P108,0)</f>
        <v>108193.92914855093</v>
      </c>
      <c r="Q122" s="273">
        <f>IF('Data Property 4'!P161&lt;'Input Property 4'!$B$33,Q119+Q108,0)</f>
        <v>115067.36453088329</v>
      </c>
    </row>
    <row r="123" spans="1:17" x14ac:dyDescent="0.2">
      <c r="A123" s="196" t="s">
        <v>245</v>
      </c>
      <c r="B123" s="196"/>
      <c r="C123" s="335">
        <f>C122</f>
        <v>1806.8275637182232</v>
      </c>
      <c r="D123" s="273">
        <f t="shared" ref="D123:Q123" si="28">C123+D122</f>
        <v>51662.73892057249</v>
      </c>
      <c r="E123" s="273">
        <f t="shared" si="28"/>
        <v>104972.61285178973</v>
      </c>
      <c r="F123" s="273">
        <f t="shared" si="28"/>
        <v>161966.61438903277</v>
      </c>
      <c r="G123" s="273">
        <f t="shared" si="28"/>
        <v>222879.41978644373</v>
      </c>
      <c r="H123" s="273">
        <f t="shared" si="28"/>
        <v>287818.57357083244</v>
      </c>
      <c r="I123" s="273">
        <f t="shared" si="28"/>
        <v>357161.72006653651</v>
      </c>
      <c r="J123" s="273">
        <f t="shared" si="28"/>
        <v>431168.37977078895</v>
      </c>
      <c r="K123" s="273">
        <f t="shared" si="28"/>
        <v>510108.26741014596</v>
      </c>
      <c r="L123" s="273">
        <f t="shared" si="28"/>
        <v>594272.41680199758</v>
      </c>
      <c r="M123" s="273">
        <f t="shared" si="28"/>
        <v>683944.14815384138</v>
      </c>
      <c r="N123" s="273">
        <f t="shared" si="28"/>
        <v>779446.13722822291</v>
      </c>
      <c r="O123" s="273">
        <f t="shared" si="28"/>
        <v>881111.22647437861</v>
      </c>
      <c r="P123" s="273">
        <f t="shared" si="28"/>
        <v>989305.15562292957</v>
      </c>
      <c r="Q123" s="273">
        <f t="shared" si="28"/>
        <v>1104372.5201538128</v>
      </c>
    </row>
    <row r="124" spans="1:17" x14ac:dyDescent="0.2">
      <c r="A124" s="129"/>
      <c r="B124" s="129"/>
      <c r="C124" s="322"/>
      <c r="D124" s="260"/>
      <c r="E124" s="260"/>
      <c r="F124" s="260"/>
      <c r="G124" s="260"/>
      <c r="H124" s="260"/>
      <c r="I124" s="260"/>
      <c r="J124" s="260"/>
      <c r="K124" s="260"/>
      <c r="L124" s="260"/>
      <c r="M124" s="260"/>
      <c r="N124" s="260"/>
      <c r="O124" s="260"/>
      <c r="P124" s="260"/>
      <c r="Q124" s="260"/>
    </row>
    <row r="125" spans="1:17" x14ac:dyDescent="0.2">
      <c r="A125" s="131" t="s">
        <v>90</v>
      </c>
      <c r="B125" s="131"/>
      <c r="C125" s="322"/>
      <c r="D125" s="260"/>
      <c r="E125" s="274"/>
      <c r="F125" s="260"/>
      <c r="G125" s="260"/>
      <c r="H125" s="260"/>
      <c r="I125" s="260"/>
      <c r="J125" s="260"/>
      <c r="K125" s="260"/>
      <c r="L125" s="260"/>
      <c r="M125" s="260"/>
      <c r="N125" s="260"/>
      <c r="O125" s="260"/>
      <c r="P125" s="260"/>
      <c r="Q125" s="260"/>
    </row>
    <row r="126" spans="1:17" x14ac:dyDescent="0.2">
      <c r="A126" s="248" t="s">
        <v>91</v>
      </c>
      <c r="B126" s="248"/>
      <c r="C126" s="336">
        <f>IRR(D126:I126)</f>
        <v>0.11463792357789049</v>
      </c>
      <c r="D126" s="275">
        <f>-('Input Property 4'!B5-'Input Property 4'!B3+'Input Property 4'!B4)</f>
        <v>-152570</v>
      </c>
      <c r="E126" s="275">
        <f>C122</f>
        <v>1806.8275637182232</v>
      </c>
      <c r="F126" s="275">
        <f>D122</f>
        <v>49855.911356854267</v>
      </c>
      <c r="G126" s="275">
        <f>E122</f>
        <v>53309.87393121724</v>
      </c>
      <c r="H126" s="275">
        <f>F122</f>
        <v>56994.00153724305</v>
      </c>
      <c r="I126" s="275">
        <f>G122</f>
        <v>60912.805397410957</v>
      </c>
      <c r="J126" s="275"/>
      <c r="K126" s="275"/>
      <c r="L126" s="275"/>
      <c r="M126" s="275"/>
      <c r="N126" s="275"/>
      <c r="O126" s="276"/>
      <c r="P126" s="276"/>
      <c r="Q126" s="276"/>
    </row>
    <row r="127" spans="1:17" x14ac:dyDescent="0.2">
      <c r="A127" s="132" t="s">
        <v>92</v>
      </c>
      <c r="B127" s="132"/>
      <c r="C127" s="337">
        <f>IRR(D127:N127)</f>
        <v>0.58106914192506953</v>
      </c>
      <c r="D127" s="277">
        <f>'Data Property 4'!C224</f>
        <v>-1631.528600665366</v>
      </c>
      <c r="E127" s="277">
        <f>'Data Property 4'!D224</f>
        <v>-3219.9900130088063</v>
      </c>
      <c r="F127" s="277">
        <f>'Data Property 4'!E224</f>
        <v>-2950.5815208374952</v>
      </c>
      <c r="G127" s="277">
        <f>'Data Property 4'!F224</f>
        <v>-2642.0812419351169</v>
      </c>
      <c r="H127" s="277">
        <f>'Data Property 4'!G224</f>
        <v>-2301.4423485178631</v>
      </c>
      <c r="I127" s="277">
        <f>'Data Property 4'!H224</f>
        <v>-2067.9488262957566</v>
      </c>
      <c r="J127" s="277">
        <f>'Data Property 4'!I224</f>
        <v>-1684.3822716213908</v>
      </c>
      <c r="K127" s="277">
        <f>'Data Property 4'!J224</f>
        <v>-1282.5207891126338</v>
      </c>
      <c r="L127" s="277">
        <f>'Data Property 4'!K224</f>
        <v>-866.64368361002926</v>
      </c>
      <c r="M127" s="277">
        <f>'Data Property 4'!L224</f>
        <v>-430.77381049328687</v>
      </c>
      <c r="N127" s="277">
        <f>'Data Property 4'!L106-'Input Property 4'!B4</f>
        <v>613350.30990809528</v>
      </c>
      <c r="O127" s="278"/>
      <c r="P127" s="279"/>
      <c r="Q127" s="279"/>
    </row>
    <row r="128" spans="1:17" x14ac:dyDescent="0.2">
      <c r="A128" s="132" t="s">
        <v>93</v>
      </c>
      <c r="B128" s="132"/>
      <c r="C128" s="338" t="e">
        <f>IRR(D128:Q128)</f>
        <v>#NUM!</v>
      </c>
      <c r="D128" s="277">
        <f>'Data Property 4'!C224</f>
        <v>-1631.528600665366</v>
      </c>
      <c r="E128" s="277">
        <f>'Data Property 4'!D224</f>
        <v>-3219.9900130088063</v>
      </c>
      <c r="F128" s="277">
        <f>'Data Property 4'!E224</f>
        <v>-2950.5815208374952</v>
      </c>
      <c r="G128" s="277">
        <f>'Data Property 4'!F224</f>
        <v>-2642.0812419351169</v>
      </c>
      <c r="H128" s="277">
        <f>'Data Property 4'!G224</f>
        <v>-2301.4423485178631</v>
      </c>
      <c r="I128" s="277">
        <f>'Data Property 4'!H224</f>
        <v>-2067.9488262957566</v>
      </c>
      <c r="J128" s="277">
        <f>'Data Property 4'!I224</f>
        <v>-1684.3822716213908</v>
      </c>
      <c r="K128" s="277">
        <f>'Data Property 4'!J224</f>
        <v>-1282.5207891126338</v>
      </c>
      <c r="L128" s="277">
        <f>'Data Property 4'!K224</f>
        <v>-866.64368361002926</v>
      </c>
      <c r="M128" s="277">
        <f>'Data Property 4'!L224</f>
        <v>-430.77381049328687</v>
      </c>
      <c r="N128" s="277">
        <f>'Data Property 4'!M224</f>
        <v>1.1127573580233729</v>
      </c>
      <c r="O128" s="277">
        <f>'Data Property 4'!N224</f>
        <v>451.13336422663633</v>
      </c>
      <c r="P128" s="277">
        <f>'Data Property 4'!O224</f>
        <v>911.18219339146162</v>
      </c>
      <c r="Q128" s="277">
        <f>'Data Property 4'!P224</f>
        <v>1394.7876726208196</v>
      </c>
    </row>
    <row r="129" spans="1:17" x14ac:dyDescent="0.2">
      <c r="A129" s="129"/>
      <c r="B129" s="129"/>
      <c r="C129" s="322"/>
      <c r="D129" s="260"/>
      <c r="E129" s="260"/>
      <c r="F129" s="260"/>
      <c r="G129" s="260"/>
      <c r="H129" s="260"/>
      <c r="I129" s="260"/>
      <c r="J129" s="260"/>
      <c r="K129" s="260"/>
      <c r="L129" s="260"/>
      <c r="M129" s="260"/>
      <c r="N129" s="260"/>
      <c r="O129" s="260"/>
      <c r="P129" s="260"/>
      <c r="Q129" s="260"/>
    </row>
    <row r="130" spans="1:17" x14ac:dyDescent="0.2">
      <c r="A130" s="196" t="s">
        <v>235</v>
      </c>
      <c r="B130" s="196"/>
      <c r="C130" s="339">
        <f>SUM(C122:Q122)</f>
        <v>1104372.5201538128</v>
      </c>
      <c r="D130" s="208"/>
      <c r="E130" s="260"/>
      <c r="F130" s="260"/>
      <c r="G130" s="260"/>
      <c r="H130" s="260"/>
      <c r="I130" s="260"/>
      <c r="J130" s="260"/>
      <c r="K130" s="260"/>
      <c r="L130" s="260"/>
      <c r="M130" s="260"/>
      <c r="N130" s="260"/>
      <c r="O130" s="260"/>
      <c r="P130" s="260"/>
      <c r="Q130" s="260"/>
    </row>
    <row r="131" spans="1:17" x14ac:dyDescent="0.2">
      <c r="A131" s="196" t="s">
        <v>236</v>
      </c>
      <c r="B131" s="196"/>
      <c r="C131" s="340">
        <f>C130/C103</f>
        <v>1.4702227490199329</v>
      </c>
      <c r="D131" s="209"/>
      <c r="E131" s="260"/>
      <c r="F131" s="260"/>
      <c r="G131" s="260"/>
      <c r="H131" s="260"/>
      <c r="I131" s="260"/>
      <c r="J131" s="260"/>
      <c r="K131" s="260"/>
      <c r="L131" s="260"/>
      <c r="M131" s="260"/>
      <c r="N131" s="260"/>
      <c r="O131" s="260"/>
      <c r="P131" s="260"/>
      <c r="Q131" s="260"/>
    </row>
    <row r="159" spans="1:17" ht="18" x14ac:dyDescent="0.25">
      <c r="A159" s="280" t="s">
        <v>259</v>
      </c>
      <c r="B159" s="165"/>
      <c r="C159" s="320"/>
      <c r="D159" s="165"/>
      <c r="E159" s="165"/>
      <c r="F159" s="165"/>
      <c r="G159" s="165"/>
      <c r="H159" s="165"/>
      <c r="I159" s="165"/>
      <c r="J159" s="165"/>
      <c r="K159" s="165"/>
      <c r="L159" s="165"/>
      <c r="M159" s="165"/>
      <c r="N159" s="165"/>
      <c r="O159" s="165"/>
      <c r="P159" s="165"/>
      <c r="Q159" s="165"/>
    </row>
    <row r="160" spans="1:17" x14ac:dyDescent="0.2">
      <c r="A160" s="60"/>
      <c r="B160" s="60"/>
      <c r="C160" s="292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</row>
    <row r="161" spans="1:17" x14ac:dyDescent="0.2">
      <c r="A161" t="s">
        <v>161</v>
      </c>
      <c r="B161"/>
      <c r="C161" s="67">
        <f>'Input Property 4'!$B$21</f>
        <v>43646</v>
      </c>
      <c r="D161" s="67">
        <f t="shared" ref="D161:Q161" si="29">DATE(YEAR(C161)+1,MONTH(C161),DAY(C161))</f>
        <v>44012</v>
      </c>
      <c r="E161" s="67">
        <f t="shared" si="29"/>
        <v>44377</v>
      </c>
      <c r="F161" s="67">
        <f t="shared" si="29"/>
        <v>44742</v>
      </c>
      <c r="G161" s="67">
        <f t="shared" si="29"/>
        <v>45107</v>
      </c>
      <c r="H161" s="67">
        <f t="shared" si="29"/>
        <v>45473</v>
      </c>
      <c r="I161" s="67">
        <f t="shared" si="29"/>
        <v>45838</v>
      </c>
      <c r="J161" s="67">
        <f t="shared" si="29"/>
        <v>46203</v>
      </c>
      <c r="K161" s="67">
        <f t="shared" si="29"/>
        <v>46568</v>
      </c>
      <c r="L161" s="67">
        <f t="shared" si="29"/>
        <v>46934</v>
      </c>
      <c r="M161" s="67">
        <f t="shared" si="29"/>
        <v>47299</v>
      </c>
      <c r="N161" s="67">
        <f t="shared" si="29"/>
        <v>47664</v>
      </c>
      <c r="O161" s="67">
        <f t="shared" si="29"/>
        <v>48029</v>
      </c>
      <c r="P161" s="67">
        <f t="shared" si="29"/>
        <v>48395</v>
      </c>
      <c r="Q161" s="67">
        <f t="shared" si="29"/>
        <v>48760</v>
      </c>
    </row>
    <row r="162" spans="1:17" x14ac:dyDescent="0.2">
      <c r="A162" t="s">
        <v>154</v>
      </c>
      <c r="B162"/>
      <c r="C162" s="55">
        <f>IF(('Input Property 4'!$B$21-'Input Property 4'!$B$20)&gt;360,0, 'Input Property 4'!$B$21-'Input Property 4'!$B$20)</f>
        <v>174</v>
      </c>
      <c r="D162" s="55">
        <f>IF('Input Property 4'!$B$33&gt;D161,D161-C161,IF('Input Property 4'!$B$33&lt;C161,0,'Input Property 4'!$B$33-C161))</f>
        <v>366</v>
      </c>
      <c r="E162" s="55">
        <f>IF('Input Property 4'!$B$33&gt;E161,E161-D161,IF('Input Property 4'!$B$33&lt;D161,0,'Input Property 4'!$B$33-D161))</f>
        <v>365</v>
      </c>
      <c r="F162" s="55">
        <f>IF('Input Property 4'!$B$33&gt;F161,F161-E161,IF('Input Property 4'!$B$33&lt;E161,0,'Input Property 4'!$B$33-E161))</f>
        <v>365</v>
      </c>
      <c r="G162" s="55">
        <f>IF('Input Property 4'!$B$33&gt;G161,G161-F161,IF('Input Property 4'!$B$33&lt;F161,0,'Input Property 4'!$B$33-F161))</f>
        <v>365</v>
      </c>
      <c r="H162" s="55">
        <f>IF('Input Property 4'!$B$33&gt;H161,H161-G161,IF('Input Property 4'!$B$33&lt;G161,0,'Input Property 4'!$B$33-G161))</f>
        <v>366</v>
      </c>
      <c r="I162" s="55">
        <f>IF('Input Property 4'!$B$33&gt;I161,I161-H161,IF('Input Property 4'!$B$33&lt;H161,0,'Input Property 4'!$B$33-H161))</f>
        <v>365</v>
      </c>
      <c r="J162" s="55">
        <f>IF('Input Property 4'!$B$33&gt;J161,J161-I161,IF('Input Property 4'!$B$33&lt;I161,0,'Input Property 4'!$B$33-I161))</f>
        <v>365</v>
      </c>
      <c r="K162" s="55">
        <f>IF('Input Property 4'!$B$33&gt;K161,K161-J161,IF('Input Property 4'!$B$33&lt;J161,0,'Input Property 4'!$B$33-J161))</f>
        <v>365</v>
      </c>
      <c r="L162" s="55">
        <f>IF('Input Property 4'!$B$33&gt;L161,L161-K161,IF('Input Property 4'!$B$33&lt;K161,0,'Input Property 4'!$B$33-K161))</f>
        <v>366</v>
      </c>
      <c r="M162" s="55">
        <f>IF('Input Property 4'!$B$33&gt;M161,M161-L161,IF('Input Property 4'!$B$33&lt;L161,0,'Input Property 4'!$B$33-L161))</f>
        <v>365</v>
      </c>
      <c r="N162" s="55">
        <f>IF('Input Property 4'!$B$33&gt;N161,N161-M161,IF('Input Property 4'!$B$33&lt;M161,0,'Input Property 4'!$B$33-M161))</f>
        <v>365</v>
      </c>
      <c r="O162" s="55">
        <f>IF('Input Property 4'!$B$33&gt;O161,O161-N161,IF('Input Property 4'!$B$33&lt;N161,0,'Input Property 4'!$B$33-N161))</f>
        <v>365</v>
      </c>
      <c r="P162" s="55">
        <f>IF('Input Property 4'!$B$33&gt;P161,P161-O161,IF('Input Property 4'!$B$33&lt;O161,0,'Input Property 4'!$B$33-O161))</f>
        <v>366</v>
      </c>
      <c r="Q162" s="55">
        <f>IF('Input Property 4'!$B$33&gt;Q161,Q161-P161,IF('Input Property 4'!$B$33&lt;P161,0,'Input Property 4'!$B$33-P161))</f>
        <v>365</v>
      </c>
    </row>
    <row r="163" spans="1:17" x14ac:dyDescent="0.2">
      <c r="A163" s="27" t="s">
        <v>17</v>
      </c>
      <c r="B163" s="24">
        <f>'Input Property 4'!$B$6</f>
        <v>550</v>
      </c>
      <c r="C163" s="43">
        <f>'Data Property 4'!B163</f>
        <v>550</v>
      </c>
      <c r="D163" s="43">
        <f>C163*(1+'Input Property 4'!B50)</f>
        <v>563.75</v>
      </c>
      <c r="E163" s="43">
        <f>D163*(1+'Input Property 4'!C50)</f>
        <v>577.84375</v>
      </c>
      <c r="F163" s="43">
        <f>E163*(1+'Input Property 4'!D50)</f>
        <v>592.28984374999993</v>
      </c>
      <c r="G163" s="43">
        <f>F163*(1+'Input Property 4'!E50)</f>
        <v>607.09708984374993</v>
      </c>
      <c r="H163" s="43">
        <f>G163*(1+'Input Property 4'!F50)</f>
        <v>622.27451708984358</v>
      </c>
      <c r="I163" s="43">
        <f>H163*(1+'Input Property 4'!G50)</f>
        <v>637.8313800170896</v>
      </c>
      <c r="J163" s="43">
        <f>I163*(1+'Input Property 4'!H50)</f>
        <v>653.77716451751678</v>
      </c>
      <c r="K163" s="43">
        <f>J163*(1+'Input Property 4'!I50)</f>
        <v>670.12159363045464</v>
      </c>
      <c r="L163" s="43">
        <f>K163*(1+'Input Property 4'!J50)</f>
        <v>686.87463347121593</v>
      </c>
      <c r="M163" s="43">
        <f>L163*(1+'Input Property 4'!K50)</f>
        <v>704.04649930799621</v>
      </c>
      <c r="N163" s="43">
        <f>M163*(1+'Input Property 4'!L50)</f>
        <v>721.64766179069602</v>
      </c>
      <c r="O163" s="43">
        <f>N163*(1+'Input Property 4'!M50)</f>
        <v>739.68885333546336</v>
      </c>
      <c r="P163" s="43">
        <f>O163*(1+'Input Property 4'!N50)</f>
        <v>758.18107466884987</v>
      </c>
      <c r="Q163" s="43">
        <f>P163*(1+'Input Property 4'!O50)</f>
        <v>777.13560153557103</v>
      </c>
    </row>
    <row r="164" spans="1:17" x14ac:dyDescent="0.2">
      <c r="A164" s="38" t="s">
        <v>123</v>
      </c>
      <c r="B164" s="24"/>
      <c r="C164" s="55">
        <f>IF(C162=0,0,(C162-'Input Property 4'!B53)/7)</f>
        <v>22.857142857142858</v>
      </c>
      <c r="D164" s="55">
        <f>IF(D162=0,0,(D162-'Input Property 4'!C53)/7)</f>
        <v>50.285714285714285</v>
      </c>
      <c r="E164" s="55">
        <f>IF(E162=0,0,(E162-'Input Property 4'!D53)/7)</f>
        <v>50.142857142857146</v>
      </c>
      <c r="F164" s="55">
        <f>IF(F162=0,0,(F162-'Input Property 4'!E53)/7)</f>
        <v>50.142857142857146</v>
      </c>
      <c r="G164" s="55">
        <f>IF(G162=0,0,(G162-'Input Property 4'!F53)/7)</f>
        <v>50.142857142857146</v>
      </c>
      <c r="H164" s="55">
        <f>IF(H162=0,0,(H162-'Input Property 4'!G53)/7)</f>
        <v>50.285714285714285</v>
      </c>
      <c r="I164" s="55">
        <f>IF(I162=0,0,(I162-'Input Property 4'!H53)/7)</f>
        <v>50.142857142857146</v>
      </c>
      <c r="J164" s="55">
        <f>IF(J162=0,0,(J162-'Input Property 4'!I53)/7)</f>
        <v>50.142857142857146</v>
      </c>
      <c r="K164" s="55">
        <f>IF(K162=0,0,(K162-'Input Property 4'!J53)/7)</f>
        <v>50.142857142857146</v>
      </c>
      <c r="L164" s="55">
        <f>IF(L162=0,0,(L162-'Input Property 4'!K53)/7)</f>
        <v>50.285714285714285</v>
      </c>
      <c r="M164" s="55">
        <f>IF(M162=0,0,(M162-'Input Property 4'!L53)/7)</f>
        <v>50.142857142857146</v>
      </c>
      <c r="N164" s="55">
        <f>IF(N162=0,0,(N162-'Input Property 4'!M53)/7)</f>
        <v>50.142857142857146</v>
      </c>
      <c r="O164" s="55">
        <f>IF(O162=0,0,(O162-'Input Property 4'!N53)/7)</f>
        <v>50.142857142857146</v>
      </c>
      <c r="P164" s="55">
        <f>IF(P162=0,0,(P162-'Input Property 4'!O53)/7)</f>
        <v>50.285714285714285</v>
      </c>
      <c r="Q164" s="55">
        <f>IF(Q162=0,0,(Q162-'Input Property 4'!P53)/7)</f>
        <v>50.142857142857146</v>
      </c>
    </row>
    <row r="165" spans="1:17" x14ac:dyDescent="0.2">
      <c r="A165" s="27" t="s">
        <v>175</v>
      </c>
      <c r="B165" s="24"/>
      <c r="C165" s="24">
        <f t="shared" ref="C165:Q165" si="30">C164*C163</f>
        <v>12571.428571428572</v>
      </c>
      <c r="D165" s="24">
        <f t="shared" si="30"/>
        <v>28348.571428571428</v>
      </c>
      <c r="E165" s="24">
        <f t="shared" si="30"/>
        <v>28974.736607142859</v>
      </c>
      <c r="F165" s="24">
        <f t="shared" si="30"/>
        <v>29699.105022321426</v>
      </c>
      <c r="G165" s="24">
        <f t="shared" si="30"/>
        <v>30441.582647879462</v>
      </c>
      <c r="H165" s="24">
        <f t="shared" si="30"/>
        <v>31291.518573660705</v>
      </c>
      <c r="I165" s="24">
        <f t="shared" si="30"/>
        <v>31982.68776942835</v>
      </c>
      <c r="J165" s="24">
        <f t="shared" si="30"/>
        <v>32782.254963664054</v>
      </c>
      <c r="K165" s="24">
        <f t="shared" si="30"/>
        <v>33601.811337755658</v>
      </c>
      <c r="L165" s="24">
        <f t="shared" si="30"/>
        <v>34539.981568838288</v>
      </c>
      <c r="M165" s="24">
        <f t="shared" si="30"/>
        <v>35302.903036729527</v>
      </c>
      <c r="N165" s="24">
        <f t="shared" si="30"/>
        <v>36185.475612647759</v>
      </c>
      <c r="O165" s="24">
        <f t="shared" si="30"/>
        <v>37090.112502963952</v>
      </c>
      <c r="P165" s="24">
        <f t="shared" si="30"/>
        <v>38125.676897633595</v>
      </c>
      <c r="Q165" s="24">
        <f t="shared" si="30"/>
        <v>38967.799448426493</v>
      </c>
    </row>
    <row r="166" spans="1:17" x14ac:dyDescent="0.2">
      <c r="A166" s="9" t="s">
        <v>51</v>
      </c>
      <c r="B166" s="18"/>
      <c r="C166" s="69" t="s">
        <v>118</v>
      </c>
      <c r="D166" s="69" t="s">
        <v>157</v>
      </c>
      <c r="E166" s="69" t="s">
        <v>174</v>
      </c>
      <c r="F166" s="69" t="s">
        <v>176</v>
      </c>
      <c r="G166" s="69" t="s">
        <v>181</v>
      </c>
      <c r="H166" s="69" t="s">
        <v>182</v>
      </c>
      <c r="I166" s="69" t="s">
        <v>183</v>
      </c>
      <c r="J166" s="69" t="s">
        <v>184</v>
      </c>
      <c r="K166" s="69" t="s">
        <v>185</v>
      </c>
      <c r="L166" s="69" t="s">
        <v>186</v>
      </c>
      <c r="M166" s="69" t="s">
        <v>187</v>
      </c>
      <c r="N166" s="69" t="s">
        <v>188</v>
      </c>
      <c r="O166" s="69" t="s">
        <v>189</v>
      </c>
      <c r="P166" s="69" t="s">
        <v>190</v>
      </c>
      <c r="Q166" s="69" t="s">
        <v>191</v>
      </c>
    </row>
    <row r="167" spans="1:17" x14ac:dyDescent="0.2">
      <c r="A167" s="17" t="s">
        <v>112</v>
      </c>
      <c r="B167" s="34" t="s">
        <v>69</v>
      </c>
      <c r="C167" s="24">
        <f>IF(C162=0,0,('Input Property 4'!$B$16*'Input Property 4'!B55)*(C162/365))</f>
        <v>13083.308843835617</v>
      </c>
      <c r="D167" s="24">
        <f>IF(D162=0,0,('Input Property 4'!$B$16*'Input Property 4'!C55)*(D162/365))</f>
        <v>27520.063430136994</v>
      </c>
      <c r="E167" s="24">
        <f>IF(E162=0,0,('Input Property 4'!$B$16*'Input Property 4'!D55)*(E162/365))</f>
        <v>27444.872000000003</v>
      </c>
      <c r="F167" s="24">
        <f>IF(F162=0,0,('Input Property 4'!$B$16*'Input Property 4'!E55)*(F162/365))</f>
        <v>27444.872000000003</v>
      </c>
      <c r="G167" s="24">
        <f>IF(G162=0,0,('Input Property 4'!$B$16*'Input Property 4'!F55)*(G162/365))</f>
        <v>27444.872000000003</v>
      </c>
      <c r="H167" s="24">
        <f>IF(H162=0,0,('Input Property 4'!$B$16*'Input Property 4'!G55)*(H162/365))</f>
        <v>27520.063430136994</v>
      </c>
      <c r="I167" s="24">
        <f>IF(I162=0,0,('Input Property 4'!$B$16*'Input Property 4'!H55)*(I162/365))</f>
        <v>27444.872000000003</v>
      </c>
      <c r="J167" s="24">
        <f>IF(J162=0,0,('Input Property 4'!$B$16*'Input Property 4'!I55)*(J162/365))</f>
        <v>27444.872000000003</v>
      </c>
      <c r="K167" s="24">
        <f>IF(K162=0,0,('Input Property 4'!$B$16*'Input Property 4'!J55)*(K162/365))</f>
        <v>27444.872000000003</v>
      </c>
      <c r="L167" s="24">
        <f>IF(L162=0,0,('Input Property 4'!$B$16*'Input Property 4'!K55)*(L162/365))</f>
        <v>27520.063430136994</v>
      </c>
      <c r="M167" s="24">
        <f>IF(M162=0,0,('Input Property 4'!$B$16*'Input Property 4'!L55)*(M162/365))</f>
        <v>27444.872000000003</v>
      </c>
      <c r="N167" s="24">
        <f>IF(N162=0,0,('Input Property 4'!$B$16*'Input Property 4'!M55)*(N162/365))</f>
        <v>27444.872000000003</v>
      </c>
      <c r="O167" s="24">
        <f>IF(O162=0,0,('Input Property 4'!$B$16*'Input Property 4'!N55)*(O162/365))</f>
        <v>27444.872000000003</v>
      </c>
      <c r="P167" s="24">
        <f>IF(P162=0,0,('Input Property 4'!$B$16*'Input Property 4'!O55)*(P162/365))</f>
        <v>27520.063430136994</v>
      </c>
      <c r="Q167" s="24">
        <f>IF(Q162=0,0,('Input Property 4'!$B$16*'Input Property 4'!P55)*(Q162/365))</f>
        <v>27444.872000000003</v>
      </c>
    </row>
    <row r="168" spans="1:17" x14ac:dyDescent="0.2">
      <c r="A168" s="17" t="s">
        <v>113</v>
      </c>
      <c r="B168" s="34" t="s">
        <v>69</v>
      </c>
      <c r="C168" s="24">
        <f>('Input Property 4'!B17*'Input Property 4'!B19/(C162/365))</f>
        <v>0</v>
      </c>
      <c r="D168" s="24">
        <f t="shared" ref="D168:Q168" si="31">C168</f>
        <v>0</v>
      </c>
      <c r="E168" s="24">
        <f t="shared" si="31"/>
        <v>0</v>
      </c>
      <c r="F168" s="24">
        <f t="shared" si="31"/>
        <v>0</v>
      </c>
      <c r="G168" s="24">
        <f t="shared" si="31"/>
        <v>0</v>
      </c>
      <c r="H168" s="24">
        <f t="shared" si="31"/>
        <v>0</v>
      </c>
      <c r="I168" s="24">
        <f t="shared" si="31"/>
        <v>0</v>
      </c>
      <c r="J168" s="24">
        <f t="shared" si="31"/>
        <v>0</v>
      </c>
      <c r="K168" s="24">
        <f t="shared" si="31"/>
        <v>0</v>
      </c>
      <c r="L168" s="24">
        <f t="shared" si="31"/>
        <v>0</v>
      </c>
      <c r="M168" s="24">
        <f t="shared" si="31"/>
        <v>0</v>
      </c>
      <c r="N168" s="24">
        <f t="shared" si="31"/>
        <v>0</v>
      </c>
      <c r="O168" s="24">
        <f t="shared" si="31"/>
        <v>0</v>
      </c>
      <c r="P168" s="24">
        <f t="shared" si="31"/>
        <v>0</v>
      </c>
      <c r="Q168" s="24">
        <f t="shared" si="31"/>
        <v>0</v>
      </c>
    </row>
    <row r="169" spans="1:17" x14ac:dyDescent="0.2">
      <c r="A169" s="17" t="str">
        <f>'Input Property 4'!I17</f>
        <v>Property Management</v>
      </c>
      <c r="B169" s="372">
        <f>'Input Property 4'!$B$58</f>
        <v>7.0000000000000007E-2</v>
      </c>
      <c r="C169" s="24">
        <f>(C165*'Data Property 4'!$B$169)</f>
        <v>880.00000000000011</v>
      </c>
      <c r="D169" s="63">
        <f>D165*'Input Property 4'!C58</f>
        <v>1984.4</v>
      </c>
      <c r="E169" s="24">
        <f>E165*'Input Property 4'!D58</f>
        <v>2028.2315625000003</v>
      </c>
      <c r="F169" s="24">
        <f>F165*'Input Property 4'!E58</f>
        <v>2078.9373515625002</v>
      </c>
      <c r="G169" s="24">
        <f>G165*'Input Property 4'!F58</f>
        <v>2130.9107853515625</v>
      </c>
      <c r="H169" s="24">
        <f>H165*'Input Property 4'!G58</f>
        <v>2190.4063001562495</v>
      </c>
      <c r="I169" s="24">
        <f>I165*'Input Property 4'!H58</f>
        <v>2238.7881438599848</v>
      </c>
      <c r="J169" s="24">
        <f>J165*'Input Property 4'!I58</f>
        <v>2294.7578474564839</v>
      </c>
      <c r="K169" s="24">
        <f>K165*'Input Property 4'!J58</f>
        <v>2352.1267936428962</v>
      </c>
      <c r="L169" s="24">
        <f>L165*'Input Property 4'!K58</f>
        <v>2417.7987098186804</v>
      </c>
      <c r="M169" s="24">
        <f>M165*'Input Property 4'!L58</f>
        <v>2471.2032125710671</v>
      </c>
      <c r="N169" s="24">
        <f>N165*'Input Property 4'!M58</f>
        <v>2532.9832928853434</v>
      </c>
      <c r="O169" s="24">
        <f>O165*'Input Property 4'!N58</f>
        <v>2596.3078752074771</v>
      </c>
      <c r="P169" s="24">
        <f>P165*'Input Property 4'!O58</f>
        <v>2668.797382834352</v>
      </c>
      <c r="Q169" s="24">
        <f>Q165*'Input Property 4'!P58</f>
        <v>2727.7459613898545</v>
      </c>
    </row>
    <row r="170" spans="1:17" x14ac:dyDescent="0.2">
      <c r="A170" s="17" t="s">
        <v>56</v>
      </c>
      <c r="B170" s="373"/>
      <c r="C170" s="24">
        <f>IF(C162=0,0,C163*'Input Property 4'!B54)</f>
        <v>550</v>
      </c>
      <c r="D170" s="63">
        <f>IF(D162=0,0,D163*'Input Property 4'!C54)</f>
        <v>563.75</v>
      </c>
      <c r="E170" s="24">
        <f>IF(E162=0,0,E163*'Input Property 4'!D54)</f>
        <v>577.84375</v>
      </c>
      <c r="F170" s="24">
        <f>IF(F162=0,0,F163*'Input Property 4'!E54)</f>
        <v>592.28984374999993</v>
      </c>
      <c r="G170" s="24">
        <f>IF(G162=0,0,G163*'Input Property 4'!F54)</f>
        <v>607.09708984374993</v>
      </c>
      <c r="H170" s="24">
        <f>IF(H162=0,0,H163*'Input Property 4'!G54)</f>
        <v>622.27451708984358</v>
      </c>
      <c r="I170" s="24">
        <f>IF(I162=0,0,I163*'Input Property 4'!H54)</f>
        <v>637.8313800170896</v>
      </c>
      <c r="J170" s="24">
        <f>IF(J162=0,0,J163*'Input Property 4'!I54)</f>
        <v>653.77716451751678</v>
      </c>
      <c r="K170" s="24">
        <f>IF(K162=0,0,K163*'Input Property 4'!J54)</f>
        <v>670.12159363045464</v>
      </c>
      <c r="L170" s="24">
        <f>IF(L162=0,0,L163*'Input Property 4'!K54)</f>
        <v>686.87463347121593</v>
      </c>
      <c r="M170" s="24">
        <f>IF(M162=0,0,M163*'Input Property 4'!L54)</f>
        <v>704.04649930799621</v>
      </c>
      <c r="N170" s="24">
        <f>IF(N162=0,0,N163*'Input Property 4'!M54)</f>
        <v>721.64766179069602</v>
      </c>
      <c r="O170" s="24">
        <f>IF(O162=0,0,O163*'Input Property 4'!N54)</f>
        <v>739.68885333546336</v>
      </c>
      <c r="P170" s="24">
        <f>IF(P162=0,0,P163*'Input Property 4'!O54)</f>
        <v>758.18107466884987</v>
      </c>
      <c r="Q170" s="24">
        <f>IF(Q162=0,0,Q163*'Input Property 4'!P54)</f>
        <v>777.13560153557103</v>
      </c>
    </row>
    <row r="171" spans="1:17" x14ac:dyDescent="0.2">
      <c r="A171" s="17" t="str">
        <f>'Input Property 4'!J18</f>
        <v>Insurance</v>
      </c>
      <c r="B171" s="373">
        <f>'Input Property 4'!$K$18</f>
        <v>1600</v>
      </c>
      <c r="C171" s="24">
        <f>IF(C162=0,0,'Data Property 4'!B171*(C162/365))</f>
        <v>762.73972602739718</v>
      </c>
      <c r="D171" s="63">
        <f>IF(D162=0,0,('Data Property 4'!B171*(1+'Input Property 4'!C51))*(D162/(D161-C161)))</f>
        <v>1639.9999999999998</v>
      </c>
      <c r="E171" s="63">
        <f>IF(E162=0,0,(D171*(1+'Input Property 4'!D51))*(E162/(E161-D161)))</f>
        <v>1680.9999999999995</v>
      </c>
      <c r="F171" s="63">
        <f>IF(F162=0,0,(E171*(1+'Input Property 4'!E51))*(F162/(F161-E161)))</f>
        <v>1723.0249999999994</v>
      </c>
      <c r="G171" s="63">
        <f>IF(G162=0,0,(F171*(1+'Input Property 4'!F51))*(G162/(G161-F161)))</f>
        <v>1766.1006249999994</v>
      </c>
      <c r="H171" s="63">
        <f>IF(H162=0,0,(G171*(1+'Input Property 4'!G51))*(H162/(H161-G161)))</f>
        <v>1810.2531406249991</v>
      </c>
      <c r="I171" s="63">
        <f>IF(I162=0,0,(H171*(1+'Input Property 4'!H51))*(I162/(I161-H161)))</f>
        <v>1855.5094691406239</v>
      </c>
      <c r="J171" s="63">
        <f>IF(J162=0,0,(I171*(1+'Input Property 4'!I51))*(J162/(J161-I161)))</f>
        <v>1901.8972058691393</v>
      </c>
      <c r="K171" s="63">
        <f>IF(K162=0,0,(J171*(1+'Input Property 4'!J51))*(K162/(K161-J161)))</f>
        <v>1949.4446360158677</v>
      </c>
      <c r="L171" s="63">
        <f>IF(L162=0,0,(K171*(1+'Input Property 4'!K51))*(L162/(L161-K161)))</f>
        <v>1998.1807519162642</v>
      </c>
      <c r="M171" s="63">
        <f>IF(M162=0,0,(L171*(1+'Input Property 4'!L51))*(M162/(M161-L161)))</f>
        <v>2048.1352707141705</v>
      </c>
      <c r="N171" s="63">
        <f>IF(N162=0,0,(M171*(1+'Input Property 4'!M51))*(N162/(N161-M161)))</f>
        <v>2099.3386524820244</v>
      </c>
      <c r="O171" s="63">
        <f>IF(O162=0,0,(N171*(1+'Input Property 4'!N51))*(O162/(O161-N161)))</f>
        <v>2151.8221187940749</v>
      </c>
      <c r="P171" s="63">
        <f>IF(P162=0,0,(O171*(1+'Input Property 4'!O51))*(P162/(P161-O161)))</f>
        <v>2205.6176717639264</v>
      </c>
      <c r="Q171" s="63">
        <f>IF(Q162=0,0,(P171*(1+'Input Property 4'!P51))*(Q162/(Q161-P161)))</f>
        <v>2260.7581135580244</v>
      </c>
    </row>
    <row r="172" spans="1:17" x14ac:dyDescent="0.2">
      <c r="A172" s="17" t="str">
        <f>'Input Property 4'!J19</f>
        <v>Maintenance</v>
      </c>
      <c r="B172" s="373">
        <f>'Input Property 4'!$K$19</f>
        <v>500</v>
      </c>
      <c r="C172" s="24">
        <f>IF(C162=0,0,'Data Property 4'!B172*(C162/365))</f>
        <v>238.35616438356163</v>
      </c>
      <c r="D172" s="63">
        <f>IF(D162=0,0,('Data Property 4'!B172*(1+'Input Property 4'!B51))*(D162/(D161-C161)))</f>
        <v>512.5</v>
      </c>
      <c r="E172" s="63">
        <f>IF(E162=0,0,(D172*(1+'Input Property 4'!C51))*(E162/(E161-D161)))</f>
        <v>525.3125</v>
      </c>
      <c r="F172" s="63">
        <f>IF(F162=0,0,(E172*(1+'Input Property 4'!D51))*(F162/(F161-E161)))</f>
        <v>538.4453125</v>
      </c>
      <c r="G172" s="63">
        <f>IF(G162=0,0,(F172*(1+'Input Property 4'!E51))*(G162/(G161-F161)))</f>
        <v>551.90644531249995</v>
      </c>
      <c r="H172" s="63">
        <f>IF(H162=0,0,(G172*(1+'Input Property 4'!F51))*(H162/(H161-G161)))</f>
        <v>565.70410644531239</v>
      </c>
      <c r="I172" s="63">
        <f>IF(I162=0,0,(H172*(1+'Input Property 4'!G51))*(I162/(I161-H161)))</f>
        <v>579.84670910644513</v>
      </c>
      <c r="J172" s="63">
        <f>IF(J162=0,0,(I172*(1+'Input Property 4'!H51))*(J162/(J161-I161)))</f>
        <v>594.34287683410616</v>
      </c>
      <c r="K172" s="63">
        <f>IF(K162=0,0,(J172*(1+'Input Property 4'!I51))*(K162/(K161-J161)))</f>
        <v>609.20144875495873</v>
      </c>
      <c r="L172" s="63">
        <f>IF(L162=0,0,(K172*(1+'Input Property 4'!J51))*(L162/(L161-K161)))</f>
        <v>624.43148497383265</v>
      </c>
      <c r="M172" s="63">
        <f>IF(M162=0,0,(L172*(1+'Input Property 4'!K51))*(M162/(M161-L161)))</f>
        <v>640.04227209817839</v>
      </c>
      <c r="N172" s="63">
        <f>IF(N162=0,0,(M172*(1+'Input Property 4'!L51))*(N162/(N161-M161)))</f>
        <v>656.04332890063279</v>
      </c>
      <c r="O172" s="63">
        <f>IF(O162=0,0,(N172*(1+'Input Property 4'!M51))*(O162/(O161-N161)))</f>
        <v>672.4444121231486</v>
      </c>
      <c r="P172" s="63">
        <f>IF(P162=0,0,(O172*(1+'Input Property 4'!N51))*(P162/(P161-O161)))</f>
        <v>689.25552242622723</v>
      </c>
      <c r="Q172" s="63">
        <f>IF(Q162=0,0,(P172*(1+'Input Property 4'!O51))*(Q162/(Q161-P161)))</f>
        <v>706.48691048688283</v>
      </c>
    </row>
    <row r="173" spans="1:17" x14ac:dyDescent="0.2">
      <c r="A173" s="17" t="str">
        <f>'Input Property 4'!J20</f>
        <v>Strata</v>
      </c>
      <c r="B173" s="373">
        <f>'Input Property 4'!$K$20</f>
        <v>0</v>
      </c>
      <c r="C173" s="24">
        <f>IF(C162=0,0,'Data Property 4'!B173*(C162/365))</f>
        <v>0</v>
      </c>
      <c r="D173" s="63">
        <f>IF(D162=0,0,('Data Property 4'!B173+('Data Property 4'!B173*'Input Property 4'!C$51))*(D162/(D161-C161)))</f>
        <v>0</v>
      </c>
      <c r="E173" s="63">
        <f>IF(E162=0,0,(D173+(D173*'Input Property 4'!D$51))*(E162/(E161-D161)))</f>
        <v>0</v>
      </c>
      <c r="F173" s="63">
        <f>IF(F162=0,0,(E173+(E173*'Input Property 4'!E$51))*(F162/(F161-E161)))</f>
        <v>0</v>
      </c>
      <c r="G173" s="63">
        <f>IF(G162=0,0,(F173+(F173*'Input Property 4'!F$51))*(G162/(G161-F161)))</f>
        <v>0</v>
      </c>
      <c r="H173" s="63">
        <f>IF(H162=0,0,(G173+(G173*'Input Property 4'!G$51))*(H162/(H161-G161)))</f>
        <v>0</v>
      </c>
      <c r="I173" s="63">
        <f>IF(I162=0,0,(H173+(H173*'Input Property 4'!H$51))*(I162/(I161-H161)))</f>
        <v>0</v>
      </c>
      <c r="J173" s="63">
        <f>IF(J162=0,0,(I173+(I173*'Input Property 4'!I$51))*(J162/(J161-I161)))</f>
        <v>0</v>
      </c>
      <c r="K173" s="63">
        <f>IF(K162=0,0,(J173+(J173*'Input Property 4'!J$51))*(K162/(K161-J161)))</f>
        <v>0</v>
      </c>
      <c r="L173" s="63">
        <f>IF(L162=0,0,(K173+(K173*'Input Property 4'!K$51))*(L162/(L161-K161)))</f>
        <v>0</v>
      </c>
      <c r="M173" s="63">
        <f>IF(M162=0,0,(L173+(L173*'Input Property 4'!L$51))*(M162/(M161-L161)))</f>
        <v>0</v>
      </c>
      <c r="N173" s="63">
        <f>IF(N162=0,0,(M173+(M173*'Input Property 4'!M$51))*(N162/(N161-M161)))</f>
        <v>0</v>
      </c>
      <c r="O173" s="63">
        <f>IF(O162=0,0,(N173+(N173*'Input Property 4'!N$51))*(O162/(O161-N161)))</f>
        <v>0</v>
      </c>
      <c r="P173" s="63">
        <f>IF(P162=0,0,(O173+(O173*'Input Property 4'!O$51))*(P162/(P161-O161)))</f>
        <v>0</v>
      </c>
      <c r="Q173" s="63">
        <f>IF(Q162=0,0,(P173+(P173*'Input Property 4'!P$51))*(Q162/(Q161-P161)))</f>
        <v>0</v>
      </c>
    </row>
    <row r="174" spans="1:17" x14ac:dyDescent="0.2">
      <c r="A174" s="17" t="str">
        <f>'Input Property 4'!J21</f>
        <v>Water Charges</v>
      </c>
      <c r="B174" s="373">
        <f>'Input Property 4'!$K$21</f>
        <v>0</v>
      </c>
      <c r="C174" s="24">
        <f>IF(C162=0,0,'Data Property 4'!B174*(C162/365))</f>
        <v>0</v>
      </c>
      <c r="D174" s="24">
        <f>IF(D162=0,0,('Data Property 4'!B174+('Data Property 4'!B174*'Input Property 4'!C$51))*(D162/(D161-C161)))</f>
        <v>0</v>
      </c>
      <c r="E174" s="24">
        <f>IF(E162=0,0,(D174+(D174*'Input Property 4'!D$51))*(E162/(E161-D161)))</f>
        <v>0</v>
      </c>
      <c r="F174" s="24">
        <f>IF(F162=0,0,(E174+(E174*'Input Property 4'!E$51))*(F162/(F161-E161)))</f>
        <v>0</v>
      </c>
      <c r="G174" s="24">
        <f>IF(G162=0,0,(F174+(F174*'Input Property 4'!F$51))*(G162/(G161-F161)))</f>
        <v>0</v>
      </c>
      <c r="H174" s="24">
        <f>IF(H162=0,0,(G174+(G174*'Input Property 4'!G$51))*(H162/(H161-G161)))</f>
        <v>0</v>
      </c>
      <c r="I174" s="24">
        <f>IF(I162=0,0,(H174+(H174*'Input Property 4'!H$51))*(I162/(I161-H161)))</f>
        <v>0</v>
      </c>
      <c r="J174" s="24">
        <f>IF(J162=0,0,(I174+(I174*'Input Property 4'!I$51))*(J162/(J161-I161)))</f>
        <v>0</v>
      </c>
      <c r="K174" s="24">
        <f>IF(K162=0,0,(J174+(J174*'Input Property 4'!J$51))*(K162/(K161-J161)))</f>
        <v>0</v>
      </c>
      <c r="L174" s="24">
        <f>IF(L162=0,0,(K174+(K174*'Input Property 4'!K$51))*(L162/(L161-K161)))</f>
        <v>0</v>
      </c>
      <c r="M174" s="24">
        <f>IF(M162=0,0,(L174+(L174*'Input Property 4'!L$51))*(M162/(M161-L161)))</f>
        <v>0</v>
      </c>
      <c r="N174" s="24">
        <f>IF(N162=0,0,(M174+(M174*'Input Property 4'!M$51))*(N162/(N161-M161)))</f>
        <v>0</v>
      </c>
      <c r="O174" s="24">
        <f>IF(O162=0,0,(N174+(N174*'Input Property 4'!N$51))*(O162/(O161-N161)))</f>
        <v>0</v>
      </c>
      <c r="P174" s="24">
        <f>IF(P162=0,0,(O174+(O174*'Input Property 4'!O$51))*(P162/(P161-O161)))</f>
        <v>0</v>
      </c>
      <c r="Q174" s="24">
        <f>IF(Q162=0,0,(P174+(P174*'Input Property 4'!P$51))*(Q162/(Q161-P161)))</f>
        <v>0</v>
      </c>
    </row>
    <row r="175" spans="1:17" x14ac:dyDescent="0.2">
      <c r="A175" s="17" t="str">
        <f>'Input Property 4'!J22</f>
        <v>Cleaning</v>
      </c>
      <c r="B175" s="373">
        <f>'Input Property 4'!$K$22</f>
        <v>0</v>
      </c>
      <c r="C175" s="24">
        <f>IF(C162=0,0,('Data Property 4'!B175+('Data Property 4'!B175*'Input Property 4'!B$51))*(C162/(365)))</f>
        <v>0</v>
      </c>
      <c r="D175" s="24">
        <f>IF(D162=0,0,('Data Property 4'!B175+('Data Property 4'!B175*'Input Property 4'!C$51))*(D162/(D161-C161)))</f>
        <v>0</v>
      </c>
      <c r="E175" s="24">
        <f>IF(E162=0,0,(D175+(D175*'Input Property 4'!D$51))*(E162/(E161-D161)))</f>
        <v>0</v>
      </c>
      <c r="F175" s="24">
        <f>IF(F162=0,0,(E175+(E175*'Input Property 4'!E$51))*(F162/(F161-E161)))</f>
        <v>0</v>
      </c>
      <c r="G175" s="24">
        <f>IF(G162=0,0,(F175+(F175*'Input Property 4'!F$51))*(G162/(G161-F161)))</f>
        <v>0</v>
      </c>
      <c r="H175" s="24">
        <f>IF(H162=0,0,(G175+(G175*'Input Property 4'!G$51))*(H162/(H161-G161)))</f>
        <v>0</v>
      </c>
      <c r="I175" s="24">
        <f>IF(I162=0,0,(H175+(H175*'Input Property 4'!H$51))*(I162/(I161-H161)))</f>
        <v>0</v>
      </c>
      <c r="J175" s="24">
        <f>IF(J162=0,0,(I175+(I175*'Input Property 4'!I$51))*(J162/(J161-I161)))</f>
        <v>0</v>
      </c>
      <c r="K175" s="24">
        <f>IF(K162=0,0,(J175+(J175*'Input Property 4'!J$51))*(K162/(K161-J161)))</f>
        <v>0</v>
      </c>
      <c r="L175" s="24">
        <f>IF(L162=0,0,(K175+(K175*'Input Property 4'!K$51))*(L162/(L161-K161)))</f>
        <v>0</v>
      </c>
      <c r="M175" s="24">
        <f>IF(M162=0,0,(L175+(L175*'Input Property 4'!L$51))*(M162/(M161-L161)))</f>
        <v>0</v>
      </c>
      <c r="N175" s="24">
        <f>IF(N162=0,0,(M175+(M175*'Input Property 4'!M$51))*(N162/(N161-M161)))</f>
        <v>0</v>
      </c>
      <c r="O175" s="24">
        <f>IF(O162=0,0,(N175+(N175*'Input Property 4'!N$51))*(O162/(O161-N161)))</f>
        <v>0</v>
      </c>
      <c r="P175" s="24">
        <f>IF(P162=0,0,(O175+(O175*'Input Property 4'!O$51))*(P162/(P161-O161)))</f>
        <v>0</v>
      </c>
      <c r="Q175" s="24">
        <f>IF(Q162=0,0,(P175+(P175*'Input Property 4'!P$51))*(Q162/(Q161-P161)))</f>
        <v>0</v>
      </c>
    </row>
    <row r="176" spans="1:17" x14ac:dyDescent="0.2">
      <c r="A176" s="17" t="str">
        <f>'Input Property 4'!J23</f>
        <v>Council Rates</v>
      </c>
      <c r="B176" s="373">
        <f>'Input Property 4'!$K$23</f>
        <v>1200</v>
      </c>
      <c r="C176" s="24">
        <f>IF(C162=0,0,'Data Property 4'!B176*(C162/365))</f>
        <v>572.05479452054794</v>
      </c>
      <c r="D176" s="24">
        <f>IF(D162=0,0,('Data Property 4'!B176+('Data Property 4'!B176*'Input Property 4'!C$51))*(D162/(D161-C161)))</f>
        <v>1230</v>
      </c>
      <c r="E176" s="24">
        <f>IF(E162=0,0,(D176+(D176*'Input Property 4'!D$51))*(E162/(E161-D161)))</f>
        <v>1260.75</v>
      </c>
      <c r="F176" s="24">
        <f>IF(F162=0,0,(E176+(E176*'Input Property 4'!E$51))*(F162/(F161-E161)))</f>
        <v>1292.26875</v>
      </c>
      <c r="G176" s="24">
        <f>IF(G162=0,0,(F176+(F176*'Input Property 4'!F$51))*(G162/(G161-F161)))</f>
        <v>1324.57546875</v>
      </c>
      <c r="H176" s="24">
        <f>IF(H162=0,0,(G176+(G176*'Input Property 4'!G$51))*(H162/(H161-G161)))</f>
        <v>1357.68985546875</v>
      </c>
      <c r="I176" s="24">
        <f>IF(I162=0,0,(H176+(H176*'Input Property 4'!H$51))*(I162/(I161-H161)))</f>
        <v>1391.6321018554688</v>
      </c>
      <c r="J176" s="24">
        <f>IF(J162=0,0,(I176+(I176*'Input Property 4'!I$51))*(J162/(J161-I161)))</f>
        <v>1426.4229044018555</v>
      </c>
      <c r="K176" s="24">
        <f>IF(K162=0,0,(J176+(J176*'Input Property 4'!J$51))*(K162/(K161-J161)))</f>
        <v>1462.0834770119018</v>
      </c>
      <c r="L176" s="24">
        <f>IF(L162=0,0,(K176+(K176*'Input Property 4'!K$51))*(L162/(L161-K161)))</f>
        <v>1498.6355639371993</v>
      </c>
      <c r="M176" s="24">
        <f>IF(M162=0,0,(L176+(L176*'Input Property 4'!L$51))*(M162/(M161-L161)))</f>
        <v>1536.1014530356292</v>
      </c>
      <c r="N176" s="24">
        <f>IF(N162=0,0,(M176+(M176*'Input Property 4'!M$51))*(N162/(N161-M161)))</f>
        <v>1574.5039893615199</v>
      </c>
      <c r="O176" s="24">
        <f>IF(O162=0,0,(N176+(N176*'Input Property 4'!N$51))*(O162/(O161-N161)))</f>
        <v>1613.8665890955579</v>
      </c>
      <c r="P176" s="24">
        <f>IF(P162=0,0,(O176+(O176*'Input Property 4'!O$51))*(P162/(P161-O161)))</f>
        <v>1654.2132538229469</v>
      </c>
      <c r="Q176" s="24">
        <f>IF(Q162=0,0,(P176+(P176*'Input Property 4'!P$51))*(Q162/(Q161-P161)))</f>
        <v>1695.5685851685205</v>
      </c>
    </row>
    <row r="177" spans="1:17" x14ac:dyDescent="0.2">
      <c r="A177" s="17" t="str">
        <f>'Input Property 4'!J24</f>
        <v>Gardening / Mowing</v>
      </c>
      <c r="B177" s="373">
        <f>'Input Property 4'!$K$24</f>
        <v>0</v>
      </c>
      <c r="C177" s="24">
        <f>IF(C162=0,0,'Data Property 4'!B177*(C162/365))</f>
        <v>0</v>
      </c>
      <c r="D177" s="24">
        <f>IF(D162=0,0,('Data Property 4'!B177+('Data Property 4'!B177*'Input Property 4'!C$51))*(D162/(D161-C161)))</f>
        <v>0</v>
      </c>
      <c r="E177" s="24">
        <f>IF(E162=0,0,(D177+(D177*'Input Property 4'!D$51))*(E162/(E161-D161)))</f>
        <v>0</v>
      </c>
      <c r="F177" s="24">
        <f>IF(F162=0,0,(E177+(E177*'Input Property 4'!E$51))*(F162/(F161-E161)))</f>
        <v>0</v>
      </c>
      <c r="G177" s="24">
        <f>IF(G162=0,0,(F177+(F177*'Input Property 4'!F$51))*(G162/(G161-F161)))</f>
        <v>0</v>
      </c>
      <c r="H177" s="24">
        <f>IF(H162=0,0,(G177+(G177*'Input Property 4'!G$51))*(H162/(H161-G161)))</f>
        <v>0</v>
      </c>
      <c r="I177" s="24">
        <f>IF(I162=0,0,(H177+(H177*'Input Property 4'!H$51))*(I162/(I161-H161)))</f>
        <v>0</v>
      </c>
      <c r="J177" s="24">
        <f>IF(J162=0,0,(I177+(I177*'Input Property 4'!I$51))*(J162/(J161-I161)))</f>
        <v>0</v>
      </c>
      <c r="K177" s="24">
        <f>IF(K162=0,0,(J177+(J177*'Input Property 4'!J$51))*(K162/(K161-J161)))</f>
        <v>0</v>
      </c>
      <c r="L177" s="24">
        <f>IF(L162=0,0,(K177+(K177*'Input Property 4'!K$51))*(L162/(L161-K161)))</f>
        <v>0</v>
      </c>
      <c r="M177" s="24">
        <f>IF(M162=0,0,(L177+(L177*'Input Property 4'!L$51))*(M162/(M161-L161)))</f>
        <v>0</v>
      </c>
      <c r="N177" s="24">
        <f>IF(N162=0,0,(M177+(M177*'Input Property 4'!M$51))*(N162/(N161-M161)))</f>
        <v>0</v>
      </c>
      <c r="O177" s="24">
        <f>IF(O162=0,0,(N177+(N177*'Input Property 4'!N$51))*(O162/(O161-N161)))</f>
        <v>0</v>
      </c>
      <c r="P177" s="24">
        <f>IF(P162=0,0,(O177+(O177*'Input Property 4'!O$51))*(P162/(P161-O161)))</f>
        <v>0</v>
      </c>
      <c r="Q177" s="24">
        <f>IF(Q162=0,0,(P177+(P177*'Input Property 4'!P$51))*(Q162/(Q161-P161)))</f>
        <v>0</v>
      </c>
    </row>
    <row r="178" spans="1:17" x14ac:dyDescent="0.2">
      <c r="A178" s="17" t="str">
        <f>'Input Property 4'!J25</f>
        <v>Land Tax</v>
      </c>
      <c r="B178" s="373">
        <f>'Input Property 4'!$K$25</f>
        <v>0</v>
      </c>
      <c r="C178" s="24">
        <f>IF(C162=0,0,'Data Property 4'!B178*(C162/365))</f>
        <v>0</v>
      </c>
      <c r="D178" s="24">
        <f>IF(D162=0,0,('Data Property 4'!B178+('Data Property 4'!B178*'Input Property 4'!C$51))*(D162/(D161-C161)))</f>
        <v>0</v>
      </c>
      <c r="E178" s="24">
        <f>IF(E162=0,0,(D178+(D178*'Input Property 4'!D$51))*(E162/(E161-D161)))</f>
        <v>0</v>
      </c>
      <c r="F178" s="24">
        <f>IF(F162=0,0,(E178+(E178*'Input Property 4'!E$51))*(F162/(F161-E161)))</f>
        <v>0</v>
      </c>
      <c r="G178" s="24">
        <f>IF(G162=0,0,(F178+(F178*'Input Property 4'!F$51))*(G162/(G161-F161)))</f>
        <v>0</v>
      </c>
      <c r="H178" s="24">
        <f>IF(H162=0,0,(G178+(G178*'Input Property 4'!G$51))*(H162/(H161-G161)))</f>
        <v>0</v>
      </c>
      <c r="I178" s="24">
        <f>IF(I162=0,0,(H178+(H178*'Input Property 4'!H$51))*(I162/(I161-H161)))</f>
        <v>0</v>
      </c>
      <c r="J178" s="24">
        <f>IF(J162=0,0,(I178+(I178*'Input Property 4'!I$51))*(J162/(J161-I161)))</f>
        <v>0</v>
      </c>
      <c r="K178" s="24">
        <f>IF(K162=0,0,(J178+(J178*'Input Property 4'!J$51))*(K162/(K161-J161)))</f>
        <v>0</v>
      </c>
      <c r="L178" s="24">
        <f>IF(L162=0,0,(K178+(K178*'Input Property 4'!K$51))*(L162/(L161-K161)))</f>
        <v>0</v>
      </c>
      <c r="M178" s="24">
        <f>IF(M162=0,0,(L178+(L178*'Input Property 4'!L$51))*(M162/(M161-L161)))</f>
        <v>0</v>
      </c>
      <c r="N178" s="24">
        <f>IF(N162=0,0,(M178+(M178*'Input Property 4'!M$51))*(N162/(N161-M161)))</f>
        <v>0</v>
      </c>
      <c r="O178" s="24">
        <f>IF(O162=0,0,(N178+(N178*'Input Property 4'!N$51))*(O162/(O161-N161)))</f>
        <v>0</v>
      </c>
      <c r="P178" s="24">
        <f>IF(P162=0,0,(O178+(O178*'Input Property 4'!O$51))*(P162/(P161-O161)))</f>
        <v>0</v>
      </c>
      <c r="Q178" s="24">
        <f>IF(Q162=0,0,(P178+(P178*'Input Property 4'!P$51))*(Q162/(Q161-P161)))</f>
        <v>0</v>
      </c>
    </row>
    <row r="179" spans="1:17" x14ac:dyDescent="0.2">
      <c r="A179" s="17" t="str">
        <f>'Input Property 4'!J26</f>
        <v>Legal Expenses</v>
      </c>
      <c r="B179" s="373">
        <f>'Input Property 4'!$K$26</f>
        <v>0</v>
      </c>
      <c r="C179" s="24">
        <f>IF(C162=0,0,'Data Property 4'!B179*(C162/365))</f>
        <v>0</v>
      </c>
      <c r="D179" s="24">
        <f>IF(D162=0,0,('Data Property 4'!B179+('Data Property 4'!B179*'Input Property 4'!C$51))*(D162/(D161-C161)))</f>
        <v>0</v>
      </c>
      <c r="E179" s="24">
        <f>IF(E162=0,0,(D179+(D179*'Input Property 4'!D$51))*(E162/(E161-D161)))</f>
        <v>0</v>
      </c>
      <c r="F179" s="24">
        <f>IF(F162=0,0,(E179+(E179*'Input Property 4'!E$51))*(F162/(F161-E161)))</f>
        <v>0</v>
      </c>
      <c r="G179" s="24">
        <f>IF(G162=0,0,(F179+(F179*'Input Property 4'!F$51))*(G162/(G161-F161)))</f>
        <v>0</v>
      </c>
      <c r="H179" s="24">
        <f>IF(H162=0,0,(G179+(G179*'Input Property 4'!G$51))*(H162/(H161-G161)))</f>
        <v>0</v>
      </c>
      <c r="I179" s="24">
        <f>IF(I162=0,0,(H179+(H179*'Input Property 4'!H$51))*(I162/(I161-H161)))</f>
        <v>0</v>
      </c>
      <c r="J179" s="24">
        <f>IF(J162=0,0,(I179+(I179*'Input Property 4'!I$51))*(J162/(J161-I161)))</f>
        <v>0</v>
      </c>
      <c r="K179" s="24">
        <f>IF(K162=0,0,(J179+(J179*'Input Property 4'!J$51))*(K162/(K161-J161)))</f>
        <v>0</v>
      </c>
      <c r="L179" s="24">
        <f>IF(L162=0,0,K179+(K179*'Input Property 4'!K$51)*(L162/(L161-K161)))</f>
        <v>0</v>
      </c>
      <c r="M179" s="24">
        <f>IF(M162=0,0,L179+(L179*'Input Property 4'!L$51)*(M162/(M161-L161)))</f>
        <v>0</v>
      </c>
      <c r="N179" s="24">
        <f>IF(N162=0,0,M179+(M179*'Input Property 4'!M$51)*(N162/(N161-M161)))</f>
        <v>0</v>
      </c>
      <c r="O179" s="24">
        <f>IF(O162=0,0,N179+(N179*'Input Property 4'!N$51)*(O162/(O161-N161)))</f>
        <v>0</v>
      </c>
      <c r="P179" s="24">
        <f>IF(P162=0,0,O179+(O179*'Input Property 4'!O$51)*(P162/(P161-O161)))</f>
        <v>0</v>
      </c>
      <c r="Q179" s="24">
        <f>IF(Q162=0,0,P179+(P179*'Input Property 4'!P$51)*(Q162/(Q161-P161)))</f>
        <v>0</v>
      </c>
    </row>
    <row r="180" spans="1:17" x14ac:dyDescent="0.2">
      <c r="A180" s="17" t="str">
        <f>'Input Property 4'!J27</f>
        <v>Pest Control</v>
      </c>
      <c r="B180" s="373">
        <f>'Input Property 4'!$K$27</f>
        <v>0</v>
      </c>
      <c r="C180" s="24">
        <f>IF(C162=0,0,'Data Property 4'!B180*(C162/365))</f>
        <v>0</v>
      </c>
      <c r="D180" s="24">
        <f>IF(D162=0,0,('Data Property 4'!B180+('Data Property 4'!B180*'Input Property 4'!C$51))*(D162/(D161-C161)))</f>
        <v>0</v>
      </c>
      <c r="E180" s="24">
        <f>IF(E162=0,0,(D180+(D180*'Input Property 4'!D$51))*(E162/(E161-D161)))</f>
        <v>0</v>
      </c>
      <c r="F180" s="24">
        <f>IF(F162=0,0,(E180+(E180*'Input Property 4'!E$51))*(F162/(F161-E161)))</f>
        <v>0</v>
      </c>
      <c r="G180" s="24">
        <f>IF(G162=0,0,(F180+(F180*'Input Property 4'!F$51))*(G162/(G161-F161)))</f>
        <v>0</v>
      </c>
      <c r="H180" s="24">
        <f>IF(H162=0,0,(G180+(G180*'Input Property 4'!G$51))*(H162/(H161-G161)))</f>
        <v>0</v>
      </c>
      <c r="I180" s="24">
        <f>IF(I162=0,0,(H180+(H180*'Input Property 4'!H$51))*(I162/(I161-H161)))</f>
        <v>0</v>
      </c>
      <c r="J180" s="24">
        <f>IF(J162=0,0,(I180+(I180*'Input Property 4'!I$51))*(J162/(J161-I161)))</f>
        <v>0</v>
      </c>
      <c r="K180" s="24">
        <f>IF(K162=0,0,(J180+(J180*'Input Property 4'!J$51))*(K162/(K161-J161)))</f>
        <v>0</v>
      </c>
      <c r="L180" s="24">
        <f>IF(L162=0,0,(K180+(K180*'Input Property 4'!K$51))*(L162/(L161-K161)))</f>
        <v>0</v>
      </c>
      <c r="M180" s="24">
        <f>IF(M162=0,0,(L180+(L180*'Input Property 4'!L$51))*(M162/(M161-L161)))</f>
        <v>0</v>
      </c>
      <c r="N180" s="24">
        <f>IF(N162=0,0,(M180+(M180*'Input Property 4'!M$51))*(N162/(N161-M161)))</f>
        <v>0</v>
      </c>
      <c r="O180" s="24">
        <f>IF(O162=0,0,(N180+(N180*'Input Property 4'!N$51))*(O162/(O161-N161)))</f>
        <v>0</v>
      </c>
      <c r="P180" s="24">
        <f>IF(P162=0,0,(O180+(O180*'Input Property 4'!O$51))*(P162/(P161-O161)))</f>
        <v>0</v>
      </c>
      <c r="Q180" s="24">
        <f>IF(Q162=0,0,(P180+(P180*'Input Property 4'!P$51))*(Q162/(Q161-P161)))</f>
        <v>0</v>
      </c>
    </row>
    <row r="181" spans="1:17" x14ac:dyDescent="0.2">
      <c r="A181" s="17" t="str">
        <f>'Input Property 4'!J28</f>
        <v>Bookkeeping</v>
      </c>
      <c r="B181" s="373">
        <f>'Input Property 4'!$K$28</f>
        <v>0</v>
      </c>
      <c r="C181" s="24">
        <f>IF(C162=0,0,'Data Property 4'!B181*(C162/365))</f>
        <v>0</v>
      </c>
      <c r="D181" s="24">
        <f>IF(D162=0,0,('Data Property 4'!B181+('Data Property 4'!B181*'Input Property 4'!C$51))*(D162/(D161-C161)))</f>
        <v>0</v>
      </c>
      <c r="E181" s="24">
        <f>IF(E162=0,0,(D181+(D181*'Input Property 4'!D$51))*(E162/(E161-D161)))</f>
        <v>0</v>
      </c>
      <c r="F181" s="24">
        <f>IF(F162=0,0,(E181+(E181*'Input Property 4'!E$51))*(F162/(F161-E161)))</f>
        <v>0</v>
      </c>
      <c r="G181" s="24">
        <f>IF(G162=0,0,(F181+(F181*'Input Property 4'!F$51))*(G162/(G161-F161)))</f>
        <v>0</v>
      </c>
      <c r="H181" s="24">
        <f>IF(H162=0,0,(G181+(G181*'Input Property 4'!G$51))*(H162/(H161-G161)))</f>
        <v>0</v>
      </c>
      <c r="I181" s="24">
        <f>IF(I162=0,0,(H181+(H181*'Input Property 4'!H$51))*(I162/(I161-H161)))</f>
        <v>0</v>
      </c>
      <c r="J181" s="24">
        <f>IF(J162=0,0,(I181+(I181*'Input Property 4'!I$51))*(J162/(J161-I161)))</f>
        <v>0</v>
      </c>
      <c r="K181" s="24">
        <f>IF(K162=0,0,(J181+(J181*'Input Property 4'!J$51))*(K162/(K161-J161)))</f>
        <v>0</v>
      </c>
      <c r="L181" s="24">
        <f>IF(L162=0,0,(K181+(K181*'Input Property 4'!K$51))*(L162/(L161-K161)))</f>
        <v>0</v>
      </c>
      <c r="M181" s="24">
        <f>IF(M162=0,0,(L181+(L181*'Input Property 4'!L$51))*(M162/(M161-L161)))</f>
        <v>0</v>
      </c>
      <c r="N181" s="24">
        <f>IF(N162=0,0,(M181+(M181*'Input Property 4'!M$51))*(N162/(N161-M161)))</f>
        <v>0</v>
      </c>
      <c r="O181" s="24">
        <f>IF(O162=0,0,(N181+(N181*'Input Property 4'!N$51))*(O162/(O161-N161)))</f>
        <v>0</v>
      </c>
      <c r="P181" s="24">
        <f>IF(P162=0,0,(O181+(O181*'Input Property 4'!O$51))*(P162/(P161-O161)))</f>
        <v>0</v>
      </c>
      <c r="Q181" s="24">
        <f>IF(Q162=0,0,(P181+(P181*'Input Property 4'!P$51))*(Q162/(Q161-P161)))</f>
        <v>0</v>
      </c>
    </row>
    <row r="182" spans="1:17" x14ac:dyDescent="0.2">
      <c r="A182" s="17" t="str">
        <f>'Input Property 4'!J29</f>
        <v>Postage and Stationery</v>
      </c>
      <c r="B182" s="373">
        <f>'Input Property 4'!$K$29</f>
        <v>0</v>
      </c>
      <c r="C182" s="24">
        <f>IF(C162=0,0,'Data Property 4'!B182*(C162/365))</f>
        <v>0</v>
      </c>
      <c r="D182" s="24">
        <f>IF(D162=0,0,('Data Property 4'!B182+('Data Property 4'!B182*'Input Property 4'!C$51))*(D162/(D161-C161)))</f>
        <v>0</v>
      </c>
      <c r="E182" s="24">
        <f>IF(E162=0,0,(D182+(D182*'Input Property 4'!D$51))*(E162/(E161-D161)))</f>
        <v>0</v>
      </c>
      <c r="F182" s="24">
        <f>IF(F162=0,0,(E182+(E182*'Input Property 4'!E$51))*(F162/(F161-E161)))</f>
        <v>0</v>
      </c>
      <c r="G182" s="24">
        <f>IF(G162=0,0,(F182+(F182*'Input Property 4'!F$51))*(G162/(G161-F161)))</f>
        <v>0</v>
      </c>
      <c r="H182" s="24">
        <f>IF(H162=0,0,(G182+(G182*'Input Property 4'!G$51))*(H162/(H161-G161)))</f>
        <v>0</v>
      </c>
      <c r="I182" s="24">
        <f>IF(I162=0,0,(H182+(H182*'Input Property 4'!H$51))*(I162/(I161-H161)))</f>
        <v>0</v>
      </c>
      <c r="J182" s="24">
        <f>IF(J162=0,0,(I182+(I182*'Input Property 4'!I$51))*(J162/(J161-I161)))</f>
        <v>0</v>
      </c>
      <c r="K182" s="24">
        <f>IF(K162=0,0,(J182+(J182*'Input Property 4'!J$51))*(K162/(K161-J161)))</f>
        <v>0</v>
      </c>
      <c r="L182" s="24">
        <f>IF(L162=0,0,(K182+(K182*'Input Property 4'!K$51))*(L162/(L161-K161)))</f>
        <v>0</v>
      </c>
      <c r="M182" s="24">
        <f>IF(M162=0,0,(L182+(L182*'Input Property 4'!L$51))*(M162/(M161-L161)))</f>
        <v>0</v>
      </c>
      <c r="N182" s="24">
        <f>IF(N162=0,0,(M182+(M182*'Input Property 4'!M$51))*(N162/(N161-M161)))</f>
        <v>0</v>
      </c>
      <c r="O182" s="24">
        <f>IF(O162=0,0,(N182+(N182*'Input Property 4'!N$51))*(O162/(O161-N161)))</f>
        <v>0</v>
      </c>
      <c r="P182" s="24">
        <f>IF(P162=0,0,(O182+(O182*'Input Property 4'!O$51))*(P162/(P161-O161)))</f>
        <v>0</v>
      </c>
      <c r="Q182" s="24">
        <f>IF(Q162=0,0,(P182+(P182*'Input Property 4'!P$51))*(Q162/(Q161-P161)))</f>
        <v>0</v>
      </c>
    </row>
    <row r="183" spans="1:17" x14ac:dyDescent="0.2">
      <c r="A183" s="17" t="str">
        <f>'Input Property 4'!J30</f>
        <v>Tax Related Expenses</v>
      </c>
      <c r="B183" s="373">
        <f>'Input Property 4'!$K$30</f>
        <v>574.75</v>
      </c>
      <c r="C183" s="24">
        <f>IF(C162=0,0,'Data Property 4'!B183*(C162/365))</f>
        <v>273.99041095890408</v>
      </c>
      <c r="D183" s="24">
        <f>IF(D162=0,0,('Data Property 4'!B183+('Data Property 4'!B183*'Input Property 4'!C$51))*(D162/(D161-C161)))</f>
        <v>589.11874999999998</v>
      </c>
      <c r="E183" s="24">
        <f>IF(E162=0,0,(D183+(D183*'Input Property 4'!D$51))*(E162/(E161-D161)))</f>
        <v>603.84671874999992</v>
      </c>
      <c r="F183" s="24">
        <f>IF(F162=0,0,(E183+(E183*'Input Property 4'!E$51))*(F162/(F161-E161)))</f>
        <v>618.94288671874995</v>
      </c>
      <c r="G183" s="24">
        <f>IF(G162=0,0,(F183+(F183*'Input Property 4'!F$51))*(G162/(G161-F161)))</f>
        <v>634.41645888671871</v>
      </c>
      <c r="H183" s="24">
        <f>IF(H162=0,0,(G183+(G183*'Input Property 4'!G$51))*(H162/(H161-G161)))</f>
        <v>650.27687035888664</v>
      </c>
      <c r="I183" s="24">
        <f>IF(I162=0,0,(H183+(H183*'Input Property 4'!H$51))*(I162/(I161-H161)))</f>
        <v>666.53379211785875</v>
      </c>
      <c r="J183" s="24">
        <f>IF(J162=0,0,(I183+(I183*'Input Property 4'!I$51))*(J162/(J161-I161)))</f>
        <v>683.19713692080518</v>
      </c>
      <c r="K183" s="24">
        <f>IF(K162=0,0,(J183+(J183*'Input Property 4'!J$51))*(K162/(K161-J161)))</f>
        <v>700.27706534382526</v>
      </c>
      <c r="L183" s="24">
        <f>IF(L162=0,0,(K183+(K183*'Input Property 4'!K$51))*(L162/(L161-K161)))</f>
        <v>717.7839919774209</v>
      </c>
      <c r="M183" s="24">
        <f>IF(M162=0,0,(L183+(L183*'Input Property 4'!L$51))*(M162/(M161-L161)))</f>
        <v>735.72859177685643</v>
      </c>
      <c r="N183" s="24">
        <f>IF(N162=0,0,(M183+(M183*'Input Property 4'!M$51))*(N162/(N161-M161)))</f>
        <v>754.12180657127783</v>
      </c>
      <c r="O183" s="24">
        <f>IF(O162=0,0,(N183+(N183*'Input Property 4'!N$51))*(O162/(O161-N161)))</f>
        <v>772.97485173555981</v>
      </c>
      <c r="P183" s="24">
        <f>IF(P162=0,0,(O183+(O183*'Input Property 4'!O$51))*(P162/(P161-O161)))</f>
        <v>792.29922302894886</v>
      </c>
      <c r="Q183" s="24">
        <f>IF(Q162=0,0,(P183+(P183*'Input Property 4'!P$51))*(Q162/(Q161-P161)))</f>
        <v>812.10670360467259</v>
      </c>
    </row>
    <row r="184" spans="1:17" x14ac:dyDescent="0.2">
      <c r="A184" s="17" t="str">
        <f>'Input Property 4'!J31</f>
        <v>Travel and Car Expenses</v>
      </c>
      <c r="B184" s="373">
        <f>'Input Property 4'!$K$31</f>
        <v>0</v>
      </c>
      <c r="C184" s="24">
        <f>IF(C162=0,0,'Data Property 4'!B184*(C162/365))</f>
        <v>0</v>
      </c>
      <c r="D184" s="24">
        <f>IF(D162=0,0,('Data Property 4'!B184+('Data Property 4'!B184*'Input Property 4'!C$51))*(D162/365))</f>
        <v>0</v>
      </c>
      <c r="E184" s="24">
        <f>IF(E162=0,0,(D184+(D184*'Input Property 4'!D$51))*(E162/365))</f>
        <v>0</v>
      </c>
      <c r="F184" s="24">
        <f>IF(F162=0,0,(E184+(E184*'Input Property 4'!E$51))*(F162/365))</f>
        <v>0</v>
      </c>
      <c r="G184" s="24">
        <f>IF(G162=0,0,(F184+(F184*'Input Property 4'!F$51))*(G162/365))</f>
        <v>0</v>
      </c>
      <c r="H184" s="24">
        <f>IF(H162=0,0,(G184+(G184*'Input Property 4'!G$51))*(H162/365))</f>
        <v>0</v>
      </c>
      <c r="I184" s="24">
        <f>IF(I162=0,0,(H184+(H184*'Input Property 4'!H$51))*(I162/365))</f>
        <v>0</v>
      </c>
      <c r="J184" s="24">
        <f>IF(J162=0,0,(I184+(I184*'Input Property 4'!I$51))*(J162/365))</f>
        <v>0</v>
      </c>
      <c r="K184" s="24">
        <f>IF(K162=0,0,(J184+(J184*'Input Property 4'!J$51))*(K162/365))</f>
        <v>0</v>
      </c>
      <c r="L184" s="24">
        <f>IF(L162=0,0,(K184+(K184*'Input Property 4'!K$51))*(L162/365))</f>
        <v>0</v>
      </c>
      <c r="M184" s="24">
        <f>IF(M162=0,0,(L184+(L184*'Input Property 4'!L$51))*(M162/365))</f>
        <v>0</v>
      </c>
      <c r="N184" s="24">
        <f>IF(N162=0,0,(M184+(M184*'Input Property 4'!M$51))*(N162/365))</f>
        <v>0</v>
      </c>
      <c r="O184" s="24">
        <f>IF(O162=0,0,(N184+(N184*'Input Property 4'!N$51))*(O162/365))</f>
        <v>0</v>
      </c>
      <c r="P184" s="24">
        <f>IF(P162=0,0,(O184+(O184*'Input Property 4'!O$51))*(P162/365))</f>
        <v>0</v>
      </c>
      <c r="Q184" s="24">
        <f>IF(Q162=0,0,(P184+(P184*'Input Property 4'!P$51))*(Q162/365))</f>
        <v>0</v>
      </c>
    </row>
    <row r="185" spans="1:17" x14ac:dyDescent="0.2">
      <c r="A185" s="17" t="str">
        <f>'Input Property 4'!A63</f>
        <v>Once Off Expenses</v>
      </c>
      <c r="B185" s="373"/>
      <c r="C185" s="24">
        <f>'Input Property 4'!B63</f>
        <v>50</v>
      </c>
      <c r="D185" s="24">
        <f>'Input Property 4'!C63</f>
        <v>0</v>
      </c>
      <c r="E185" s="24">
        <f>'Input Property 4'!D63</f>
        <v>0</v>
      </c>
      <c r="F185" s="24">
        <f>'Input Property 4'!E63</f>
        <v>0</v>
      </c>
      <c r="G185" s="24">
        <f>'Input Property 4'!F63</f>
        <v>0</v>
      </c>
      <c r="H185" s="24">
        <f>'Input Property 4'!G63</f>
        <v>0</v>
      </c>
      <c r="I185" s="24">
        <f>'Input Property 4'!H63</f>
        <v>0</v>
      </c>
      <c r="J185" s="24">
        <f>'Input Property 4'!I63</f>
        <v>0</v>
      </c>
      <c r="K185" s="24">
        <f>'Input Property 4'!J63</f>
        <v>0</v>
      </c>
      <c r="L185" s="24">
        <f>'Input Property 4'!K63</f>
        <v>0</v>
      </c>
      <c r="M185" s="24">
        <f>'Input Property 4'!L63</f>
        <v>0</v>
      </c>
      <c r="N185" s="24">
        <f>'Input Property 4'!M63</f>
        <v>0</v>
      </c>
      <c r="O185" s="24">
        <f>'Input Property 4'!N63</f>
        <v>0</v>
      </c>
      <c r="P185" s="24">
        <f>'Input Property 4'!O63</f>
        <v>0</v>
      </c>
      <c r="Q185" s="24">
        <f>'Input Property 4'!P63</f>
        <v>0</v>
      </c>
    </row>
    <row r="186" spans="1:17" x14ac:dyDescent="0.2">
      <c r="A186" s="35" t="s">
        <v>70</v>
      </c>
      <c r="B186" s="24"/>
      <c r="C186" s="24">
        <f t="shared" ref="C186:Q186" si="32">SUM(C169:C185)</f>
        <v>3327.1410958904112</v>
      </c>
      <c r="D186" s="24">
        <f t="shared" si="32"/>
        <v>6519.7687499999993</v>
      </c>
      <c r="E186" s="24">
        <f t="shared" si="32"/>
        <v>6676.9845312499992</v>
      </c>
      <c r="F186" s="24">
        <f t="shared" si="32"/>
        <v>6843.9091445312497</v>
      </c>
      <c r="G186" s="24">
        <f t="shared" si="32"/>
        <v>7015.0068731445308</v>
      </c>
      <c r="H186" s="24">
        <f t="shared" si="32"/>
        <v>7196.6047901440415</v>
      </c>
      <c r="I186" s="24">
        <f t="shared" si="32"/>
        <v>7370.1415960974709</v>
      </c>
      <c r="J186" s="24">
        <f t="shared" si="32"/>
        <v>7554.3951359999064</v>
      </c>
      <c r="K186" s="24">
        <f t="shared" si="32"/>
        <v>7743.2550143999051</v>
      </c>
      <c r="L186" s="24">
        <f t="shared" si="32"/>
        <v>7943.7051360946134</v>
      </c>
      <c r="M186" s="24">
        <f t="shared" si="32"/>
        <v>8135.257299503899</v>
      </c>
      <c r="N186" s="24">
        <f t="shared" si="32"/>
        <v>8338.6387319914938</v>
      </c>
      <c r="O186" s="24">
        <f t="shared" si="32"/>
        <v>8547.1047002912819</v>
      </c>
      <c r="P186" s="24">
        <f t="shared" si="32"/>
        <v>8768.3641285452504</v>
      </c>
      <c r="Q186" s="24">
        <f t="shared" si="32"/>
        <v>8979.8018757435257</v>
      </c>
    </row>
    <row r="187" spans="1:17" x14ac:dyDescent="0.2">
      <c r="A187" s="28" t="s">
        <v>49</v>
      </c>
      <c r="B187" s="24"/>
      <c r="C187" s="24">
        <f t="shared" ref="C187:Q187" si="33">C186+C167+C168</f>
        <v>16410.44993972603</v>
      </c>
      <c r="D187" s="24">
        <f t="shared" si="33"/>
        <v>34039.832180136989</v>
      </c>
      <c r="E187" s="24">
        <f t="shared" si="33"/>
        <v>34121.85653125</v>
      </c>
      <c r="F187" s="24">
        <f t="shared" si="33"/>
        <v>34288.781144531255</v>
      </c>
      <c r="G187" s="24">
        <f t="shared" si="33"/>
        <v>34459.878873144531</v>
      </c>
      <c r="H187" s="24">
        <f t="shared" si="33"/>
        <v>34716.668220281033</v>
      </c>
      <c r="I187" s="24">
        <f t="shared" si="33"/>
        <v>34815.013596097473</v>
      </c>
      <c r="J187" s="24">
        <f t="shared" si="33"/>
        <v>34999.267135999908</v>
      </c>
      <c r="K187" s="24">
        <f t="shared" si="33"/>
        <v>35188.127014399906</v>
      </c>
      <c r="L187" s="24">
        <f t="shared" si="33"/>
        <v>35463.768566231607</v>
      </c>
      <c r="M187" s="24">
        <f t="shared" si="33"/>
        <v>35580.129299503904</v>
      </c>
      <c r="N187" s="24">
        <f t="shared" si="33"/>
        <v>35783.510731991497</v>
      </c>
      <c r="O187" s="24">
        <f t="shared" si="33"/>
        <v>35991.976700291285</v>
      </c>
      <c r="P187" s="24">
        <f t="shared" si="33"/>
        <v>36288.427558682248</v>
      </c>
      <c r="Q187" s="24">
        <f t="shared" si="33"/>
        <v>36424.673875743531</v>
      </c>
    </row>
    <row r="188" spans="1:17" x14ac:dyDescent="0.2">
      <c r="A188" s="9" t="s">
        <v>13</v>
      </c>
      <c r="B188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</row>
    <row r="189" spans="1:17" x14ac:dyDescent="0.2">
      <c r="A189" s="25" t="s">
        <v>37</v>
      </c>
      <c r="B189" s="20"/>
      <c r="C189" s="24">
        <f t="shared" ref="C189:Q189" si="34">C165-C187</f>
        <v>-3839.0213682974572</v>
      </c>
      <c r="D189" s="24">
        <f t="shared" si="34"/>
        <v>-5691.2607515655618</v>
      </c>
      <c r="E189" s="24">
        <f t="shared" si="34"/>
        <v>-5147.1199241071408</v>
      </c>
      <c r="F189" s="24">
        <f t="shared" si="34"/>
        <v>-4589.6761222098285</v>
      </c>
      <c r="G189" s="24">
        <f t="shared" si="34"/>
        <v>-4018.2962252650686</v>
      </c>
      <c r="H189" s="24">
        <f t="shared" si="34"/>
        <v>-3425.149646620328</v>
      </c>
      <c r="I189" s="24">
        <f t="shared" si="34"/>
        <v>-2832.3258266691228</v>
      </c>
      <c r="J189" s="24">
        <f t="shared" si="34"/>
        <v>-2217.0121723358534</v>
      </c>
      <c r="K189" s="24">
        <f t="shared" si="34"/>
        <v>-1586.315676644248</v>
      </c>
      <c r="L189" s="24">
        <f t="shared" si="34"/>
        <v>-923.78699739331933</v>
      </c>
      <c r="M189" s="24">
        <f t="shared" si="34"/>
        <v>-277.22626277437666</v>
      </c>
      <c r="N189" s="24">
        <f t="shared" si="34"/>
        <v>401.96488065626181</v>
      </c>
      <c r="O189" s="24">
        <f t="shared" si="34"/>
        <v>1098.1358026726666</v>
      </c>
      <c r="P189" s="24">
        <f t="shared" si="34"/>
        <v>1837.2493389513475</v>
      </c>
      <c r="Q189" s="24">
        <f t="shared" si="34"/>
        <v>2543.1255726829622</v>
      </c>
    </row>
    <row r="190" spans="1:17" x14ac:dyDescent="0.2">
      <c r="A190" s="25" t="s">
        <v>172</v>
      </c>
      <c r="B190" s="20"/>
      <c r="C190" s="24">
        <f>(C189/(C162/7))</f>
        <v>-154.44338837978276</v>
      </c>
      <c r="D190" s="24">
        <f>D189/'Input Property 4'!$B$64</f>
        <v>-108.92365074766626</v>
      </c>
      <c r="E190" s="24">
        <f>E189/'Input Property 4'!$B$64</f>
        <v>-98.50947223171562</v>
      </c>
      <c r="F190" s="24">
        <f>F189/'Input Property 4'!$B$64</f>
        <v>-87.840691334159402</v>
      </c>
      <c r="G190" s="24">
        <f>G189/'Input Property 4'!$B$64</f>
        <v>-76.905190914163995</v>
      </c>
      <c r="H190" s="24">
        <f>H189/'Input Property 4'!$B$64</f>
        <v>-65.553103284599572</v>
      </c>
      <c r="I190" s="24">
        <f>I189/'Input Property 4'!$B$64</f>
        <v>-54.20719285491144</v>
      </c>
      <c r="J190" s="24">
        <f>J189/'Input Property 4'!$B$64</f>
        <v>-42.430854972934995</v>
      </c>
      <c r="K190" s="24">
        <f>K189/'Input Property 4'!$B$64</f>
        <v>-30.360108643909054</v>
      </c>
      <c r="L190" s="24">
        <f>L189/'Input Property 4'!$B$64</f>
        <v>-17.68013392140324</v>
      </c>
      <c r="M190" s="24">
        <f>M189/'Input Property 4'!$B$64</f>
        <v>-5.3057657947249126</v>
      </c>
      <c r="N190" s="24">
        <f>N189/'Input Property 4'!$B$64</f>
        <v>7.6931077637562071</v>
      </c>
      <c r="O190" s="24">
        <f>O189/'Input Property 4'!$B$64</f>
        <v>21.016953161199361</v>
      </c>
      <c r="P190" s="24">
        <f>P189/'Input Property 4'!$B$64</f>
        <v>35.162666774188466</v>
      </c>
      <c r="Q190" s="24">
        <f>Q189/'Input Property 4'!$B$64</f>
        <v>48.672259764267217</v>
      </c>
    </row>
    <row r="191" spans="1:17" x14ac:dyDescent="0.2">
      <c r="A191" s="29" t="s">
        <v>12</v>
      </c>
      <c r="B191" s="20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</row>
    <row r="192" spans="1:17" x14ac:dyDescent="0.2">
      <c r="A192" s="17" t="s">
        <v>53</v>
      </c>
      <c r="B192" s="10"/>
      <c r="C192" s="24">
        <f t="shared" ref="C192:Q192" si="35">C167+C168</f>
        <v>13083.308843835617</v>
      </c>
      <c r="D192" s="24">
        <f t="shared" si="35"/>
        <v>27520.063430136994</v>
      </c>
      <c r="E192" s="24">
        <f t="shared" si="35"/>
        <v>27444.872000000003</v>
      </c>
      <c r="F192" s="24">
        <f t="shared" si="35"/>
        <v>27444.872000000003</v>
      </c>
      <c r="G192" s="24">
        <f t="shared" si="35"/>
        <v>27444.872000000003</v>
      </c>
      <c r="H192" s="24">
        <f t="shared" si="35"/>
        <v>27520.063430136994</v>
      </c>
      <c r="I192" s="24">
        <f t="shared" si="35"/>
        <v>27444.872000000003</v>
      </c>
      <c r="J192" s="24">
        <f t="shared" si="35"/>
        <v>27444.872000000003</v>
      </c>
      <c r="K192" s="24">
        <f t="shared" si="35"/>
        <v>27444.872000000003</v>
      </c>
      <c r="L192" s="24">
        <f t="shared" si="35"/>
        <v>27520.063430136994</v>
      </c>
      <c r="M192" s="24">
        <f t="shared" si="35"/>
        <v>27444.872000000003</v>
      </c>
      <c r="N192" s="24">
        <f t="shared" si="35"/>
        <v>27444.872000000003</v>
      </c>
      <c r="O192" s="24">
        <f t="shared" si="35"/>
        <v>27444.872000000003</v>
      </c>
      <c r="P192" s="24">
        <f t="shared" si="35"/>
        <v>27520.063430136994</v>
      </c>
      <c r="Q192" s="24">
        <f t="shared" si="35"/>
        <v>27444.872000000003</v>
      </c>
    </row>
    <row r="193" spans="1:17" x14ac:dyDescent="0.2">
      <c r="A193" s="17" t="s">
        <v>52</v>
      </c>
      <c r="B193" s="15"/>
      <c r="C193" s="24">
        <f t="shared" ref="C193:Q193" si="36">C186</f>
        <v>3327.1410958904112</v>
      </c>
      <c r="D193" s="24">
        <f t="shared" si="36"/>
        <v>6519.7687499999993</v>
      </c>
      <c r="E193" s="24">
        <f t="shared" si="36"/>
        <v>6676.9845312499992</v>
      </c>
      <c r="F193" s="24">
        <f t="shared" si="36"/>
        <v>6843.9091445312497</v>
      </c>
      <c r="G193" s="24">
        <f t="shared" si="36"/>
        <v>7015.0068731445308</v>
      </c>
      <c r="H193" s="24">
        <f t="shared" si="36"/>
        <v>7196.6047901440415</v>
      </c>
      <c r="I193" s="24">
        <f t="shared" si="36"/>
        <v>7370.1415960974709</v>
      </c>
      <c r="J193" s="24">
        <f t="shared" si="36"/>
        <v>7554.3951359999064</v>
      </c>
      <c r="K193" s="24">
        <f t="shared" si="36"/>
        <v>7743.2550143999051</v>
      </c>
      <c r="L193" s="24">
        <f t="shared" si="36"/>
        <v>7943.7051360946134</v>
      </c>
      <c r="M193" s="24">
        <f t="shared" si="36"/>
        <v>8135.257299503899</v>
      </c>
      <c r="N193" s="24">
        <f t="shared" si="36"/>
        <v>8338.6387319914938</v>
      </c>
      <c r="O193" s="24">
        <f t="shared" si="36"/>
        <v>8547.1047002912819</v>
      </c>
      <c r="P193" s="24">
        <f t="shared" si="36"/>
        <v>8768.3641285452504</v>
      </c>
      <c r="Q193" s="24">
        <f t="shared" si="36"/>
        <v>8979.8018757435257</v>
      </c>
    </row>
    <row r="194" spans="1:17" x14ac:dyDescent="0.2">
      <c r="A194" s="36" t="s">
        <v>47</v>
      </c>
      <c r="B194" s="24"/>
      <c r="C194" s="24">
        <f t="shared" ref="C194:Q194" si="37">SUM(C192:C193)</f>
        <v>16410.44993972603</v>
      </c>
      <c r="D194" s="24">
        <f t="shared" si="37"/>
        <v>34039.832180136989</v>
      </c>
      <c r="E194" s="24">
        <f t="shared" si="37"/>
        <v>34121.85653125</v>
      </c>
      <c r="F194" s="24">
        <f t="shared" si="37"/>
        <v>34288.781144531255</v>
      </c>
      <c r="G194" s="24">
        <f t="shared" si="37"/>
        <v>34459.878873144531</v>
      </c>
      <c r="H194" s="24">
        <f t="shared" si="37"/>
        <v>34716.668220281033</v>
      </c>
      <c r="I194" s="24">
        <f t="shared" si="37"/>
        <v>34815.013596097473</v>
      </c>
      <c r="J194" s="24">
        <f t="shared" si="37"/>
        <v>34999.267135999908</v>
      </c>
      <c r="K194" s="24">
        <f t="shared" si="37"/>
        <v>35188.127014399906</v>
      </c>
      <c r="L194" s="24">
        <f t="shared" si="37"/>
        <v>35463.768566231607</v>
      </c>
      <c r="M194" s="24">
        <f t="shared" si="37"/>
        <v>35580.129299503904</v>
      </c>
      <c r="N194" s="24">
        <f t="shared" si="37"/>
        <v>35783.510731991497</v>
      </c>
      <c r="O194" s="24">
        <f t="shared" si="37"/>
        <v>35991.976700291285</v>
      </c>
      <c r="P194" s="24">
        <f t="shared" si="37"/>
        <v>36288.427558682248</v>
      </c>
      <c r="Q194" s="24">
        <f t="shared" si="37"/>
        <v>36424.673875743531</v>
      </c>
    </row>
    <row r="195" spans="1:17" x14ac:dyDescent="0.2">
      <c r="A195" s="9" t="s">
        <v>14</v>
      </c>
      <c r="B195"/>
      <c r="C195" s="24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1:17" x14ac:dyDescent="0.2">
      <c r="A196" s="23" t="s">
        <v>45</v>
      </c>
      <c r="B196" s="24">
        <f>'Input Property 4'!$K$13</f>
        <v>1810</v>
      </c>
      <c r="C196" s="24">
        <f>'Data Property 4'!B196/5</f>
        <v>362</v>
      </c>
      <c r="D196" s="24">
        <f>C196</f>
        <v>362</v>
      </c>
      <c r="E196" s="24">
        <f>D196</f>
        <v>362</v>
      </c>
      <c r="F196" s="24">
        <f>E196</f>
        <v>362</v>
      </c>
      <c r="G196" s="24">
        <f>F196</f>
        <v>362</v>
      </c>
      <c r="H196"/>
      <c r="I196"/>
      <c r="J196"/>
      <c r="K196"/>
      <c r="L196"/>
      <c r="M196"/>
      <c r="N196"/>
      <c r="O196"/>
      <c r="P196"/>
      <c r="Q196"/>
    </row>
    <row r="197" spans="1:17" x14ac:dyDescent="0.2">
      <c r="A197" s="22" t="s">
        <v>15</v>
      </c>
      <c r="B197" s="10">
        <f>'Tax Table'!$C$3</f>
        <v>2.5000000000000001E-2</v>
      </c>
      <c r="C197" s="24">
        <f>IF(C162=0,0,'Input Property 4'!B61)</f>
        <v>0</v>
      </c>
      <c r="D197" s="24">
        <f>IF(D162=0,0,'Input Property 4'!C61)</f>
        <v>0</v>
      </c>
      <c r="E197" s="24">
        <f>IF(E162=0,0,'Input Property 4'!D61)</f>
        <v>0</v>
      </c>
      <c r="F197" s="24">
        <f>IF(F162=0,0,'Input Property 4'!E61)</f>
        <v>0</v>
      </c>
      <c r="G197" s="24">
        <f>IF(G162=0,0,'Input Property 4'!F61)</f>
        <v>0</v>
      </c>
      <c r="H197" s="24">
        <f>IF(H162=0,0,'Input Property 4'!G61)</f>
        <v>0</v>
      </c>
      <c r="I197" s="24">
        <f>IF(I162=0,0,'Input Property 4'!H61)</f>
        <v>0</v>
      </c>
      <c r="J197" s="24">
        <f>IF(J162=0,0,'Input Property 4'!I61)</f>
        <v>0</v>
      </c>
      <c r="K197" s="24">
        <f>IF(K162=0,0,'Input Property 4'!J61)</f>
        <v>0</v>
      </c>
      <c r="L197" s="24">
        <f>IF(L162=0,0,'Input Property 4'!K61)</f>
        <v>0</v>
      </c>
      <c r="M197" s="24">
        <f>IF(M162=0,0,'Input Property 4'!L61)</f>
        <v>0</v>
      </c>
      <c r="N197" s="24">
        <f>IF(N162=0,0,'Input Property 4'!M61)</f>
        <v>0</v>
      </c>
      <c r="O197" s="24">
        <f>IF(O162=0,0,'Input Property 4'!N61)</f>
        <v>0</v>
      </c>
      <c r="P197" s="24">
        <f>IF(P162=0,0,'Input Property 4'!O61)</f>
        <v>0</v>
      </c>
      <c r="Q197" s="24">
        <f>IF(Q162=0,0,'Input Property 4'!P61)</f>
        <v>0</v>
      </c>
    </row>
    <row r="198" spans="1:17" x14ac:dyDescent="0.2">
      <c r="A198" s="22" t="s">
        <v>114</v>
      </c>
      <c r="B198" s="27">
        <f>'Input Property 4'!$B$35</f>
        <v>5000</v>
      </c>
      <c r="C198" s="24">
        <f>IF(C162=0,0,IF('Input Property 4'!B62&gt;0,'Input Property 4'!B62,IF('Input Property 4'!$B$62=0,'Data Property 4'!B199*0.3,'Input Property 4'!B62)))</f>
        <v>1500</v>
      </c>
      <c r="D198" s="24">
        <f>IF(D162=0,0,IF('Input Property 4'!C62&gt;0,'Input Property 4'!C62,IF('Input Property 4'!$B$62=0,C199*0.3,'Input Property 4'!C62)))</f>
        <v>1050</v>
      </c>
      <c r="E198" s="24">
        <f>IF(E162=0,0,IF('Input Property 4'!D62&gt;0,'Input Property 4'!D62,IF('Input Property 4'!$B$62=0,D199*0.3,'Input Property 4'!D62)))</f>
        <v>735</v>
      </c>
      <c r="F198" s="24">
        <f>IF(F162=0,0,IF('Input Property 4'!E62&gt;0,'Input Property 4'!E62,IF('Input Property 4'!$B$62=0,E199*0.3,'Input Property 4'!E62)))</f>
        <v>514.5</v>
      </c>
      <c r="G198" s="24">
        <f>IF(G162=0,0,IF('Input Property 4'!F62&gt;0,'Input Property 4'!F62,IF('Input Property 4'!$B$62=0,F199*0.3,'Input Property 4'!F62)))</f>
        <v>360.15</v>
      </c>
      <c r="H198" s="24">
        <f>IF(H162=0,0,IF('Input Property 4'!G62&gt;0,'Input Property 4'!G62,IF('Input Property 4'!$B$62=0,G199*0.3,'Input Property 4'!G62)))</f>
        <v>252.10499999999999</v>
      </c>
      <c r="I198" s="24">
        <f>IF(I162=0,0,IF('Input Property 4'!H62&gt;0,'Input Property 4'!H62,IF('Input Property 4'!$B$62=0,H199*0.3,'Input Property 4'!H62)))</f>
        <v>176.4735</v>
      </c>
      <c r="J198" s="24">
        <f>IF(J162=0,0,IF('Input Property 4'!I62&gt;0,'Input Property 4'!I62,IF('Input Property 4'!$B$62=0,I199*0.3,'Input Property 4'!I62)))</f>
        <v>123.53144999999999</v>
      </c>
      <c r="K198" s="24">
        <f>IF(K162=0,0,IF('Input Property 4'!J62&gt;0,'Input Property 4'!J62,IF('Input Property 4'!$B$62=0,J199*0.3,'Input Property 4'!J62)))</f>
        <v>86.472014999999999</v>
      </c>
      <c r="L198" s="24">
        <f>IF(L162=0,0,IF('Input Property 4'!K62&gt;0,'Input Property 4'!K62,IF('Input Property 4'!$B$62=0,K199*0.3,'Input Property 4'!K62)))</f>
        <v>60.530410499999995</v>
      </c>
      <c r="M198" s="24">
        <f>IF(M162=0,0,IF('Input Property 4'!L62&gt;0,'Input Property 4'!L62,IF('Input Property 4'!$B$62=0,L199*0.3,'Input Property 4'!L62)))</f>
        <v>42.371287350000003</v>
      </c>
      <c r="N198" s="24">
        <f>IF(N162=0,0,IF('Input Property 4'!M62&gt;0,'Input Property 4'!M62,IF('Input Property 4'!$B$62=0,M199*0.3,'Input Property 4'!M62)))</f>
        <v>29.659901144999999</v>
      </c>
      <c r="O198" s="24">
        <f>IF(O162=0,0,IF('Input Property 4'!N62&gt;0,'Input Property 4'!N62,IF('Input Property 4'!$B$62=0,N199*0.3,'Input Property 4'!N62)))</f>
        <v>20.7619308015</v>
      </c>
      <c r="P198" s="24">
        <f>IF(P162=0,0,IF('Input Property 4'!O62&gt;0,'Input Property 4'!O62,IF('Input Property 4'!$B$62=0,O199*0.3,'Input Property 4'!O62)))</f>
        <v>14.533351561049999</v>
      </c>
      <c r="Q198" s="24">
        <f>IF(Q162=0,0,IF('Input Property 4'!P62&gt;0,'Input Property 4'!P62,IF('Input Property 4'!$B$62=0,P199*0.3,'Input Property 4'!P62)))</f>
        <v>10.173346092735001</v>
      </c>
    </row>
    <row r="199" spans="1:17" x14ac:dyDescent="0.2">
      <c r="A199" s="22"/>
      <c r="B199" s="27">
        <f>B198</f>
        <v>5000</v>
      </c>
      <c r="C199" s="24">
        <f>'Data Property 4'!B199-C198</f>
        <v>3500</v>
      </c>
      <c r="D199" s="24">
        <f t="shared" ref="D199:Q199" si="38">C199-D198</f>
        <v>2450</v>
      </c>
      <c r="E199" s="24">
        <f t="shared" si="38"/>
        <v>1715</v>
      </c>
      <c r="F199" s="24">
        <f t="shared" si="38"/>
        <v>1200.5</v>
      </c>
      <c r="G199" s="24">
        <f t="shared" si="38"/>
        <v>840.35</v>
      </c>
      <c r="H199" s="24">
        <f t="shared" si="38"/>
        <v>588.245</v>
      </c>
      <c r="I199" s="24">
        <f t="shared" si="38"/>
        <v>411.7715</v>
      </c>
      <c r="J199" s="24">
        <f t="shared" si="38"/>
        <v>288.24005</v>
      </c>
      <c r="K199" s="24">
        <f t="shared" si="38"/>
        <v>201.768035</v>
      </c>
      <c r="L199" s="24">
        <f t="shared" si="38"/>
        <v>141.23762450000001</v>
      </c>
      <c r="M199" s="24">
        <f t="shared" si="38"/>
        <v>98.866337150000007</v>
      </c>
      <c r="N199" s="24">
        <f t="shared" si="38"/>
        <v>69.206436005</v>
      </c>
      <c r="O199" s="24">
        <f t="shared" si="38"/>
        <v>48.4445052035</v>
      </c>
      <c r="P199" s="24">
        <f t="shared" si="38"/>
        <v>33.911153642450003</v>
      </c>
      <c r="Q199" s="24">
        <f t="shared" si="38"/>
        <v>23.737807549715001</v>
      </c>
    </row>
    <row r="200" spans="1:17" x14ac:dyDescent="0.2">
      <c r="A200" s="28" t="s">
        <v>48</v>
      </c>
      <c r="B200" s="27"/>
      <c r="C200" s="24">
        <f t="shared" ref="C200:Q200" si="39">SUM(C196:C198)</f>
        <v>1862</v>
      </c>
      <c r="D200" s="24">
        <f t="shared" si="39"/>
        <v>1412</v>
      </c>
      <c r="E200" s="24">
        <f t="shared" si="39"/>
        <v>1097</v>
      </c>
      <c r="F200" s="24">
        <f t="shared" si="39"/>
        <v>876.5</v>
      </c>
      <c r="G200" s="24">
        <f t="shared" si="39"/>
        <v>722.15</v>
      </c>
      <c r="H200" s="24">
        <f t="shared" si="39"/>
        <v>252.10499999999999</v>
      </c>
      <c r="I200" s="24">
        <f t="shared" si="39"/>
        <v>176.4735</v>
      </c>
      <c r="J200" s="24">
        <f t="shared" si="39"/>
        <v>123.53144999999999</v>
      </c>
      <c r="K200" s="24">
        <f t="shared" si="39"/>
        <v>86.472014999999999</v>
      </c>
      <c r="L200" s="24">
        <f t="shared" si="39"/>
        <v>60.530410499999995</v>
      </c>
      <c r="M200" s="24">
        <f t="shared" si="39"/>
        <v>42.371287350000003</v>
      </c>
      <c r="N200" s="24">
        <f t="shared" si="39"/>
        <v>29.659901144999999</v>
      </c>
      <c r="O200" s="24">
        <f t="shared" si="39"/>
        <v>20.7619308015</v>
      </c>
      <c r="P200" s="24">
        <f t="shared" si="39"/>
        <v>14.533351561049999</v>
      </c>
      <c r="Q200" s="24">
        <f t="shared" si="39"/>
        <v>10.173346092735001</v>
      </c>
    </row>
    <row r="201" spans="1:17" x14ac:dyDescent="0.2">
      <c r="A201" s="37" t="s">
        <v>40</v>
      </c>
      <c r="B201" s="20"/>
      <c r="C201" s="24">
        <f t="shared" ref="C201:Q201" si="40">C194+C200</f>
        <v>18272.44993972603</v>
      </c>
      <c r="D201" s="24">
        <f t="shared" si="40"/>
        <v>35451.832180136989</v>
      </c>
      <c r="E201" s="24">
        <f t="shared" si="40"/>
        <v>35218.85653125</v>
      </c>
      <c r="F201" s="24">
        <f t="shared" si="40"/>
        <v>35165.281144531255</v>
      </c>
      <c r="G201" s="24">
        <f t="shared" si="40"/>
        <v>35182.028873144533</v>
      </c>
      <c r="H201" s="24">
        <f t="shared" si="40"/>
        <v>34968.773220281037</v>
      </c>
      <c r="I201" s="24">
        <f t="shared" si="40"/>
        <v>34991.487096097473</v>
      </c>
      <c r="J201" s="24">
        <f t="shared" si="40"/>
        <v>35122.79858599991</v>
      </c>
      <c r="K201" s="24">
        <f t="shared" si="40"/>
        <v>35274.599029399906</v>
      </c>
      <c r="L201" s="24">
        <f t="shared" si="40"/>
        <v>35524.29897673161</v>
      </c>
      <c r="M201" s="24">
        <f t="shared" si="40"/>
        <v>35622.500586853901</v>
      </c>
      <c r="N201" s="24">
        <f t="shared" si="40"/>
        <v>35813.170633136499</v>
      </c>
      <c r="O201" s="24">
        <f t="shared" si="40"/>
        <v>36012.738631092783</v>
      </c>
      <c r="P201" s="24">
        <f t="shared" si="40"/>
        <v>36302.960910243295</v>
      </c>
      <c r="Q201" s="24">
        <f t="shared" si="40"/>
        <v>36434.847221836266</v>
      </c>
    </row>
    <row r="202" spans="1:17" x14ac:dyDescent="0.2">
      <c r="A202" s="37" t="s">
        <v>115</v>
      </c>
      <c r="B202" s="20"/>
      <c r="C202" s="24">
        <f t="shared" ref="C202:Q202" si="41">C165-C201</f>
        <v>-5701.0213682974572</v>
      </c>
      <c r="D202" s="24">
        <f t="shared" si="41"/>
        <v>-7103.2607515655618</v>
      </c>
      <c r="E202" s="24">
        <f t="shared" si="41"/>
        <v>-6244.1199241071408</v>
      </c>
      <c r="F202" s="24">
        <f t="shared" si="41"/>
        <v>-5466.1761222098285</v>
      </c>
      <c r="G202" s="24">
        <f t="shared" si="41"/>
        <v>-4740.4462252650701</v>
      </c>
      <c r="H202" s="24">
        <f t="shared" si="41"/>
        <v>-3677.2546466203312</v>
      </c>
      <c r="I202" s="24">
        <f t="shared" si="41"/>
        <v>-3008.7993266691228</v>
      </c>
      <c r="J202" s="24">
        <f t="shared" si="41"/>
        <v>-2340.5436223358556</v>
      </c>
      <c r="K202" s="24">
        <f t="shared" si="41"/>
        <v>-1672.7876916442474</v>
      </c>
      <c r="L202" s="24">
        <f t="shared" si="41"/>
        <v>-984.31740789332252</v>
      </c>
      <c r="M202" s="24">
        <f t="shared" si="41"/>
        <v>-319.59755012437381</v>
      </c>
      <c r="N202" s="24">
        <f t="shared" si="41"/>
        <v>372.30497951126017</v>
      </c>
      <c r="O202" s="24">
        <f t="shared" si="41"/>
        <v>1077.3738718711684</v>
      </c>
      <c r="P202" s="24">
        <f t="shared" si="41"/>
        <v>1822.7159873903001</v>
      </c>
      <c r="Q202" s="24">
        <f t="shared" si="41"/>
        <v>2532.9522265902269</v>
      </c>
    </row>
    <row r="203" spans="1:17" x14ac:dyDescent="0.2">
      <c r="A203" s="21" t="s">
        <v>42</v>
      </c>
      <c r="B203" s="20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</row>
    <row r="204" spans="1:17" x14ac:dyDescent="0.2">
      <c r="A204" s="37" t="s">
        <v>78</v>
      </c>
      <c r="B204" s="20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</row>
    <row r="205" spans="1:17" x14ac:dyDescent="0.2">
      <c r="A205" s="26" t="s">
        <v>79</v>
      </c>
      <c r="B205" s="15">
        <f>'Input Property 4'!B26</f>
        <v>0.5</v>
      </c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</row>
    <row r="206" spans="1:17" x14ac:dyDescent="0.2">
      <c r="A206" s="38" t="s">
        <v>74</v>
      </c>
      <c r="B206"/>
      <c r="C206" s="24">
        <f>'Input Property 4'!B46</f>
        <v>123000</v>
      </c>
      <c r="D206" s="24">
        <f>'Input Property 4'!C46</f>
        <v>125460</v>
      </c>
      <c r="E206" s="24">
        <f>'Input Property 4'!D46</f>
        <v>127969.2</v>
      </c>
      <c r="F206" s="24">
        <f>'Input Property 4'!E46</f>
        <v>130528.584</v>
      </c>
      <c r="G206" s="24">
        <f>'Input Property 4'!F46</f>
        <v>133139.15568</v>
      </c>
      <c r="H206" s="24">
        <f>'Input Property 4'!G46</f>
        <v>135801.93879360001</v>
      </c>
      <c r="I206" s="24">
        <f>'Input Property 4'!H46</f>
        <v>138517.97756947202</v>
      </c>
      <c r="J206" s="24">
        <f>'Input Property 4'!I46</f>
        <v>141288.33712086146</v>
      </c>
      <c r="K206" s="24">
        <f>'Input Property 4'!J46</f>
        <v>144114.10386327869</v>
      </c>
      <c r="L206" s="24">
        <f>'Input Property 4'!K46</f>
        <v>146996.38594054428</v>
      </c>
      <c r="M206" s="24">
        <f>'Input Property 4'!L46</f>
        <v>149936.31365935516</v>
      </c>
      <c r="N206" s="24">
        <f>'Input Property 4'!M46</f>
        <v>152935.03993254228</v>
      </c>
      <c r="O206" s="24">
        <f>'Input Property 4'!N46</f>
        <v>155993.74073119313</v>
      </c>
      <c r="P206" s="24">
        <f>'Input Property 4'!O46</f>
        <v>159113.61554581701</v>
      </c>
      <c r="Q206" s="24">
        <f>'Input Property 4'!P46</f>
        <v>162295.88785673334</v>
      </c>
    </row>
    <row r="207" spans="1:17" x14ac:dyDescent="0.2">
      <c r="A207" s="38" t="s">
        <v>76</v>
      </c>
      <c r="B207"/>
      <c r="C207" s="24">
        <f>'Tax Table'!G12</f>
        <v>33456.114999999998</v>
      </c>
      <c r="D207" s="63">
        <f>'Tax Table'!G23</f>
        <v>34366.315000000002</v>
      </c>
      <c r="E207" s="63">
        <f>'Tax Table'!G33</f>
        <v>35294.718999999997</v>
      </c>
      <c r="F207" s="63">
        <f>'Tax Table'!G43</f>
        <v>36241.691080000004</v>
      </c>
      <c r="G207" s="24">
        <f>'Tax Table'!G53</f>
        <v>37207.602601599996</v>
      </c>
      <c r="H207" s="24">
        <f>'Tax Table'!G63</f>
        <v>38192.832353632009</v>
      </c>
      <c r="I207" s="24">
        <f>'Tax Table'!G73</f>
        <v>39197.766700704648</v>
      </c>
      <c r="J207" s="24">
        <f>'Tax Table'!G83</f>
        <v>40222.799734718734</v>
      </c>
      <c r="K207" s="24">
        <f>'Tax Table'!G93</f>
        <v>41268.33342941312</v>
      </c>
      <c r="L207" s="24">
        <f>'Tax Table'!G103</f>
        <v>42334.777798001378</v>
      </c>
      <c r="M207" s="24">
        <f>'Tax Table'!G113</f>
        <v>43422.551053961412</v>
      </c>
      <c r="N207" s="24">
        <f>'Tax Table'!G123</f>
        <v>44532.079775040642</v>
      </c>
      <c r="O207" s="24">
        <f>'Tax Table'!G133</f>
        <v>45663.799070541456</v>
      </c>
      <c r="P207" s="24">
        <f>'Tax Table'!G143</f>
        <v>46818.152751952293</v>
      </c>
      <c r="Q207" s="24">
        <f>'Tax Table'!G153</f>
        <v>47995.593506991339</v>
      </c>
    </row>
    <row r="208" spans="1:17" x14ac:dyDescent="0.2">
      <c r="A208" s="26" t="s">
        <v>41</v>
      </c>
      <c r="B208" s="20"/>
      <c r="C208" s="24">
        <f>C202*'Data Property 4'!$B$205</f>
        <v>-2850.5106841487286</v>
      </c>
      <c r="D208" s="24">
        <f>D202*'Data Property 4'!$B$205</f>
        <v>-3551.6303757827809</v>
      </c>
      <c r="E208" s="24">
        <f>E202*'Data Property 4'!$B$205</f>
        <v>-3122.0599620535704</v>
      </c>
      <c r="F208" s="24">
        <f>F202*'Data Property 4'!$B$205</f>
        <v>-2733.0880611049142</v>
      </c>
      <c r="G208" s="24">
        <f>G202*'Data Property 4'!$B$205</f>
        <v>-2370.223112632535</v>
      </c>
      <c r="H208" s="24">
        <f>H202*'Data Property 4'!$B$205</f>
        <v>-1838.6273233101656</v>
      </c>
      <c r="I208" s="24">
        <f>I202*'Data Property 4'!$B$205</f>
        <v>-1504.3996633345614</v>
      </c>
      <c r="J208" s="24">
        <f>J202*'Data Property 4'!$B$205</f>
        <v>-1170.2718111679278</v>
      </c>
      <c r="K208" s="24">
        <f>K202*'Data Property 4'!$B$205</f>
        <v>-836.39384582212369</v>
      </c>
      <c r="L208" s="24">
        <f>L202*'Data Property 4'!$B$205</f>
        <v>-492.15870394666126</v>
      </c>
      <c r="M208" s="24">
        <f>M202*'Data Property 4'!$B$205</f>
        <v>-159.79877506218691</v>
      </c>
      <c r="N208" s="24">
        <f>N202*'Data Property 4'!$B$205</f>
        <v>186.15248975563009</v>
      </c>
      <c r="O208" s="24">
        <f>O202*'Data Property 4'!$B$205</f>
        <v>538.68693593558419</v>
      </c>
      <c r="P208" s="24">
        <f>P202*'Data Property 4'!$B$205</f>
        <v>911.35799369515007</v>
      </c>
      <c r="Q208" s="24">
        <f>Q202*'Data Property 4'!$B$205</f>
        <v>1266.4761132951135</v>
      </c>
    </row>
    <row r="209" spans="1:17" x14ac:dyDescent="0.2">
      <c r="A209" s="38" t="s">
        <v>75</v>
      </c>
      <c r="B209"/>
      <c r="C209" s="24">
        <f>IF(C161&lt;'Input Property 4'!$B$33,C206+C208,C206+C208+C236)</f>
        <v>120149.48931585127</v>
      </c>
      <c r="D209" s="24">
        <f>IF(C161&lt;'Input Property 4'!$B$33,IF(D161&lt;'Input Property 4'!$B$33,D206+D208,D206+D208+D236),D206)</f>
        <v>121908.36962421722</v>
      </c>
      <c r="E209" s="24">
        <f>IF(D161&lt;'Input Property 4'!$B$33,IF(E161&lt;'Input Property 4'!$B$33,E206+E208,E206+E208+E236),E206)</f>
        <v>124847.14003794643</v>
      </c>
      <c r="F209" s="24">
        <f>IF(E161&lt;'Input Property 4'!$B$33,IF(F161&lt;'Input Property 4'!$B$33,F206+F208,F206+F208+F236),F206)</f>
        <v>127795.4959388951</v>
      </c>
      <c r="G209" s="24">
        <f>IF(F161&lt;'Input Property 4'!$B$33,IF(G161&lt;'Input Property 4'!$B$33,G206+G208,G206+G208+G236),G206)</f>
        <v>130768.93256736746</v>
      </c>
      <c r="H209" s="24">
        <f>IF(G161&lt;'Input Property 4'!$B$33,IF(H161&lt;'Input Property 4'!$B$33,H206+H208,H206+H208+H236),H206)</f>
        <v>133963.31147028986</v>
      </c>
      <c r="I209" s="24">
        <f>IF(H161&lt;'Input Property 4'!$B$33,IF(I161&lt;'Input Property 4'!$B$33,I206+I208,I206+I208+I236),I206)</f>
        <v>137013.57790613745</v>
      </c>
      <c r="J209" s="24">
        <f>IF(I161&lt;'Input Property 4'!$B$33,IF(J161&lt;'Input Property 4'!$B$33,J206+J208,J206+J208+J236),J206)</f>
        <v>140118.06530969351</v>
      </c>
      <c r="K209" s="24">
        <f>IF(J161&lt;'Input Property 4'!$B$33,IF(K161&lt;'Input Property 4'!$B$33,K206+K208,K206+K208+K236),K206)</f>
        <v>143277.71001745656</v>
      </c>
      <c r="L209" s="24">
        <f>IF(K161&lt;'Input Property 4'!$B$33,IF(L161&lt;'Input Property 4'!$B$33,L206+L208,L206+L208+L236),L206)</f>
        <v>146504.22723659762</v>
      </c>
      <c r="M209" s="24">
        <f>IF(L161&lt;'Input Property 4'!$B$33,IF(M161&lt;'Input Property 4'!$B$33,M206+M208,M206+M208+M236),M206)</f>
        <v>149776.51488429296</v>
      </c>
      <c r="N209" s="24">
        <f>IF(M161&lt;'Input Property 4'!$B$33,IF(N161&lt;'Input Property 4'!$B$33,N206+N208,N206+N208+N236),N206)</f>
        <v>153121.1924222979</v>
      </c>
      <c r="O209" s="24">
        <f>IF(N161&lt;'Input Property 4'!$B$33,IF(O161&lt;'Input Property 4'!$B$33,O206+O208,O206+O208+O236),O206)</f>
        <v>156532.42766712871</v>
      </c>
      <c r="P209" s="24">
        <f>IF(O161&lt;'Input Property 4'!$B$33,IF(P161&lt;'Input Property 4'!$B$33,P206+P208,P206+P208+P236),P206)</f>
        <v>160024.97353951217</v>
      </c>
      <c r="Q209" s="24">
        <f>IF(P161&lt;'Input Property 4'!$B$33,IF(Q161&lt;'Input Property 4'!$B$33,Q206+Q208,Q206+Q208+Q236),Q206)</f>
        <v>163562.36397002847</v>
      </c>
    </row>
    <row r="210" spans="1:17" x14ac:dyDescent="0.2">
      <c r="A210" s="38" t="s">
        <v>77</v>
      </c>
      <c r="B210"/>
      <c r="C210" s="24">
        <f>'Tax Table'!H12</f>
        <v>32352.368616183954</v>
      </c>
      <c r="D210" s="63">
        <f>'Tax Table'!H23</f>
        <v>33130.679630721621</v>
      </c>
      <c r="E210" s="24">
        <f>'Tax Table'!H33</f>
        <v>34196.449798365175</v>
      </c>
      <c r="F210" s="24">
        <f>'Tax Table'!H43</f>
        <v>35267.893639862647</v>
      </c>
      <c r="G210" s="24">
        <f>'Tax Table'!H53</f>
        <v>36349.175663226393</v>
      </c>
      <c r="H210" s="24">
        <f>'Tax Table'!H63</f>
        <v>37514.23194346972</v>
      </c>
      <c r="I210" s="24">
        <f>'Tax Table'!H73</f>
        <v>38623.79492318078</v>
      </c>
      <c r="J210" s="24">
        <f>'Tax Table'!H83</f>
        <v>39755.554043107128</v>
      </c>
      <c r="K210" s="24">
        <f>'Tax Table'!H93</f>
        <v>40908.497432896009</v>
      </c>
      <c r="L210" s="24">
        <f>'Tax Table'!H103</f>
        <v>42088.271204551362</v>
      </c>
      <c r="M210" s="24">
        <f>'Tax Table'!H113</f>
        <v>43283.381543895208</v>
      </c>
      <c r="N210" s="24">
        <f>'Tax Table'!H123</f>
        <v>44507.495533255453</v>
      </c>
      <c r="O210" s="24">
        <f>'Tax Table'!H133</f>
        <v>45757.275875182058</v>
      </c>
      <c r="P210" s="24">
        <f>'Tax Table'!H143</f>
        <v>47039.383585117554</v>
      </c>
      <c r="Q210" s="24">
        <f>'Tax Table'!H153</f>
        <v>48337.019010134041</v>
      </c>
    </row>
    <row r="211" spans="1:17" x14ac:dyDescent="0.2">
      <c r="A211" s="26" t="s">
        <v>71</v>
      </c>
      <c r="B211" s="20"/>
      <c r="C211" s="24">
        <f t="shared" ref="C211:Q211" si="42">C207-C210</f>
        <v>1103.7463838160438</v>
      </c>
      <c r="D211" s="24">
        <f t="shared" si="42"/>
        <v>1235.6353692783814</v>
      </c>
      <c r="E211" s="24">
        <f t="shared" si="42"/>
        <v>1098.2692016348228</v>
      </c>
      <c r="F211" s="24">
        <f t="shared" si="42"/>
        <v>973.79744013735763</v>
      </c>
      <c r="G211" s="24">
        <f t="shared" si="42"/>
        <v>858.42693837360275</v>
      </c>
      <c r="H211" s="24">
        <f t="shared" si="42"/>
        <v>678.60041016228934</v>
      </c>
      <c r="I211" s="24">
        <f t="shared" si="42"/>
        <v>573.97177752386779</v>
      </c>
      <c r="J211" s="24">
        <f t="shared" si="42"/>
        <v>467.24569161160616</v>
      </c>
      <c r="K211" s="24">
        <f t="shared" si="42"/>
        <v>359.8359965171112</v>
      </c>
      <c r="L211" s="24">
        <f t="shared" si="42"/>
        <v>246.50659345001623</v>
      </c>
      <c r="M211" s="24">
        <f t="shared" si="42"/>
        <v>139.16951006620366</v>
      </c>
      <c r="N211" s="24">
        <f t="shared" si="42"/>
        <v>24.584241785189079</v>
      </c>
      <c r="O211" s="24">
        <f t="shared" si="42"/>
        <v>-93.476804640602495</v>
      </c>
      <c r="P211" s="24">
        <f t="shared" si="42"/>
        <v>-221.23083316526026</v>
      </c>
      <c r="Q211" s="24">
        <f t="shared" si="42"/>
        <v>-341.42550314270193</v>
      </c>
    </row>
    <row r="212" spans="1:17" x14ac:dyDescent="0.2">
      <c r="A212" s="26" t="s">
        <v>166</v>
      </c>
      <c r="B212" s="20"/>
      <c r="C212" s="24">
        <f>C211/(C162/7)</f>
        <v>44.403590153519005</v>
      </c>
      <c r="D212" s="24">
        <f>D211/'Input Property 4'!$B$64</f>
        <v>23.648523813940315</v>
      </c>
      <c r="E212" s="24">
        <f>E211/'Input Property 4'!$B$64</f>
        <v>21.019506251384168</v>
      </c>
      <c r="F212" s="24">
        <f>F211/'Input Property 4'!$B$64</f>
        <v>18.637271581576222</v>
      </c>
      <c r="G212" s="24">
        <f>G211/'Input Property 4'!$B$64</f>
        <v>16.429223700930198</v>
      </c>
      <c r="H212" s="24">
        <f>H211/'Input Property 4'!$B$64</f>
        <v>12.987567658608409</v>
      </c>
      <c r="I212" s="24">
        <f>I211/'Input Property 4'!$B$64</f>
        <v>10.985105789930484</v>
      </c>
      <c r="J212" s="24">
        <f>J211/'Input Property 4'!$B$64</f>
        <v>8.9425012748632753</v>
      </c>
      <c r="K212" s="24">
        <f>K211/'Input Property 4'!$B$64</f>
        <v>6.8868133304710275</v>
      </c>
      <c r="L212" s="24">
        <f>L211/'Input Property 4'!$B$64</f>
        <v>4.7178295397132288</v>
      </c>
      <c r="M212" s="24">
        <f>M211/'Input Property 4'!$B$64</f>
        <v>2.6635312931330843</v>
      </c>
      <c r="N212" s="24">
        <f>N211/'Input Property 4'!$B$64</f>
        <v>0.47051180450122637</v>
      </c>
      <c r="O212" s="24">
        <f>O211/'Input Property 4'!$B$64</f>
        <v>-1.7890297538871291</v>
      </c>
      <c r="P212" s="24">
        <f>P211/'Input Property 4'!$B$64</f>
        <v>-4.2340829313925408</v>
      </c>
      <c r="Q212" s="24">
        <f>Q211/'Input Property 4'!$B$64</f>
        <v>-6.5344593902909462</v>
      </c>
    </row>
    <row r="213" spans="1:17" x14ac:dyDescent="0.2">
      <c r="A213" s="37" t="s">
        <v>80</v>
      </c>
      <c r="B213" s="20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</row>
    <row r="214" spans="1:17" x14ac:dyDescent="0.2">
      <c r="A214" s="26" t="s">
        <v>81</v>
      </c>
      <c r="B214" s="15">
        <f>1-B205</f>
        <v>0.5</v>
      </c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</row>
    <row r="215" spans="1:17" x14ac:dyDescent="0.2">
      <c r="A215" s="38" t="s">
        <v>74</v>
      </c>
      <c r="B215"/>
      <c r="C215" s="24">
        <f>'Input Property 4'!B48</f>
        <v>96000</v>
      </c>
      <c r="D215" s="24">
        <f>'Input Property 4'!C48</f>
        <v>97920</v>
      </c>
      <c r="E215" s="24">
        <f>'Input Property 4'!D48</f>
        <v>99878.400000000009</v>
      </c>
      <c r="F215" s="24">
        <f>'Input Property 4'!E48</f>
        <v>101875.96800000001</v>
      </c>
      <c r="G215" s="24">
        <f>'Input Property 4'!F48</f>
        <v>103913.48736000001</v>
      </c>
      <c r="H215" s="24">
        <f>'Input Property 4'!G48</f>
        <v>105991.75710720001</v>
      </c>
      <c r="I215" s="24">
        <f>'Input Property 4'!H48</f>
        <v>108111.59224934402</v>
      </c>
      <c r="J215" s="24">
        <f>'Input Property 4'!I48</f>
        <v>110273.82409433089</v>
      </c>
      <c r="K215" s="24">
        <f>'Input Property 4'!J48</f>
        <v>112479.30057621752</v>
      </c>
      <c r="L215" s="24">
        <f>'Input Property 4'!K48</f>
        <v>114728.88658774187</v>
      </c>
      <c r="M215" s="24">
        <f>'Input Property 4'!L48</f>
        <v>117023.46431949671</v>
      </c>
      <c r="N215" s="24">
        <f>'Input Property 4'!M48</f>
        <v>119363.93360588665</v>
      </c>
      <c r="O215" s="24">
        <f>'Input Property 4'!N48</f>
        <v>121751.21227800439</v>
      </c>
      <c r="P215" s="24">
        <f>'Input Property 4'!O48</f>
        <v>124186.23652356448</v>
      </c>
      <c r="Q215" s="24">
        <f>'Input Property 4'!P48</f>
        <v>126669.96125403578</v>
      </c>
    </row>
    <row r="216" spans="1:17" x14ac:dyDescent="0.2">
      <c r="A216" s="38" t="s">
        <v>76</v>
      </c>
      <c r="B216"/>
      <c r="C216" s="24">
        <f>'Tax Table'!I12</f>
        <v>23466.115000000002</v>
      </c>
      <c r="D216" s="63">
        <f>'Tax Table'!I23</f>
        <v>24176.514999999999</v>
      </c>
      <c r="E216" s="24">
        <f>'Tax Table'!I33</f>
        <v>24901.123000000003</v>
      </c>
      <c r="F216" s="24">
        <f>'Tax Table'!I43</f>
        <v>25640.223160000001</v>
      </c>
      <c r="G216" s="24">
        <f>'Tax Table'!I53</f>
        <v>26394.105323200005</v>
      </c>
      <c r="H216" s="24">
        <f>'Tax Table'!I63</f>
        <v>27163.065129664006</v>
      </c>
      <c r="I216" s="24">
        <f>'Tax Table'!I73</f>
        <v>27947.404132257288</v>
      </c>
      <c r="J216" s="24">
        <f>'Tax Table'!I83</f>
        <v>28747.42991490243</v>
      </c>
      <c r="K216" s="24">
        <f>'Tax Table'!I93</f>
        <v>29563.456213200479</v>
      </c>
      <c r="L216" s="24">
        <f>'Tax Table'!I103</f>
        <v>30395.803037464495</v>
      </c>
      <c r="M216" s="24">
        <f>'Tax Table'!I113</f>
        <v>31244.796798213782</v>
      </c>
      <c r="N216" s="24">
        <f>'Tax Table'!I123</f>
        <v>32110.770434178059</v>
      </c>
      <c r="O216" s="24">
        <f>'Tax Table'!I133</f>
        <v>32994.063542861622</v>
      </c>
      <c r="P216" s="24">
        <f>'Tax Table'!I143</f>
        <v>33895.022513718861</v>
      </c>
      <c r="Q216" s="24">
        <f>'Tax Table'!I153</f>
        <v>34814.00066399324</v>
      </c>
    </row>
    <row r="217" spans="1:17" x14ac:dyDescent="0.2">
      <c r="A217" s="26" t="s">
        <v>41</v>
      </c>
      <c r="B217" s="20"/>
      <c r="C217" s="24">
        <f>C202*'Data Property 4'!$B$214</f>
        <v>-2850.5106841487286</v>
      </c>
      <c r="D217" s="24">
        <f>D202*'Data Property 4'!$B$214</f>
        <v>-3551.6303757827809</v>
      </c>
      <c r="E217" s="24">
        <f>E202*'Data Property 4'!$B$214</f>
        <v>-3122.0599620535704</v>
      </c>
      <c r="F217" s="24">
        <f>F202*'Data Property 4'!$B$214</f>
        <v>-2733.0880611049142</v>
      </c>
      <c r="G217" s="24">
        <f>G202*'Data Property 4'!$B$214</f>
        <v>-2370.223112632535</v>
      </c>
      <c r="H217" s="24">
        <f>H202*'Data Property 4'!$B$214</f>
        <v>-1838.6273233101656</v>
      </c>
      <c r="I217" s="24">
        <f>I202*'Data Property 4'!$B$214</f>
        <v>-1504.3996633345614</v>
      </c>
      <c r="J217" s="24">
        <f>J202*'Data Property 4'!$B$214</f>
        <v>-1170.2718111679278</v>
      </c>
      <c r="K217" s="24">
        <f>K202*'Data Property 4'!$B$214</f>
        <v>-836.39384582212369</v>
      </c>
      <c r="L217" s="24">
        <f>L202*'Data Property 4'!$B$214</f>
        <v>-492.15870394666126</v>
      </c>
      <c r="M217" s="24">
        <f>M202*'Data Property 4'!$B$214</f>
        <v>-159.79877506218691</v>
      </c>
      <c r="N217" s="24">
        <f>N202*'Data Property 4'!$B$214</f>
        <v>186.15248975563009</v>
      </c>
      <c r="O217" s="24">
        <f>O202*'Data Property 4'!$B$214</f>
        <v>538.68693593558419</v>
      </c>
      <c r="P217" s="24">
        <f>P202*'Data Property 4'!$B$214</f>
        <v>911.35799369515007</v>
      </c>
      <c r="Q217" s="24">
        <f>Q202*'Data Property 4'!$B$214</f>
        <v>1266.4761132951135</v>
      </c>
    </row>
    <row r="218" spans="1:17" x14ac:dyDescent="0.2">
      <c r="A218" s="38" t="s">
        <v>75</v>
      </c>
      <c r="B218"/>
      <c r="C218" s="24">
        <f>IF(C161&lt;'Input Property 4'!$B$33,C215+C217,IF(C161&gt;'Input Property 4'!$B$33,0,C215+C217+C237))</f>
        <v>93149.489315851271</v>
      </c>
      <c r="D218" s="24">
        <f>IF(C161&lt;'Input Property 4'!$B$33,IF(D161&lt;'Input Property 4'!$B$33,D215+D217,D215+D217+D237),D215)</f>
        <v>94368.369624217215</v>
      </c>
      <c r="E218" s="24">
        <f>IF(D161&lt;'Input Property 4'!$B$33,IF(E161&lt;'Input Property 4'!$B$33,E215+E217,E215+E217+E237),E215)</f>
        <v>96756.340037946444</v>
      </c>
      <c r="F218" s="24">
        <f>IF(E161&lt;'Input Property 4'!$B$33,IF(F161&lt;'Input Property 4'!$B$33,F215+F217,F215+F217+F237),F215)</f>
        <v>99142.879938895087</v>
      </c>
      <c r="G218" s="24">
        <f>IF(F161&lt;'Input Property 4'!$B$33,IF(G161&lt;'Input Property 4'!$B$33,G215+G217,G215+G217+G237),G215)</f>
        <v>101543.26424736748</v>
      </c>
      <c r="H218" s="24">
        <f>IF(G161&lt;'Input Property 4'!$B$33,IF(H161&lt;'Input Property 4'!$B$33,H215+H217,H215+H217+H237),H215)</f>
        <v>104153.12978388985</v>
      </c>
      <c r="I218" s="24">
        <f>IF(H161&lt;'Input Property 4'!$B$33,IF(I161&lt;'Input Property 4'!$B$33,I215+I217,I215+I217+I237),I215)</f>
        <v>106607.19258600945</v>
      </c>
      <c r="J218" s="24">
        <f>IF(I161&lt;'Input Property 4'!$B$33,IF(J161&lt;'Input Property 4'!$B$33,J215+J217,J215+J217+J237),J215)</f>
        <v>109103.55228316296</v>
      </c>
      <c r="K218" s="24">
        <f>IF(J161&lt;'Input Property 4'!$B$33,IF(K161&lt;'Input Property 4'!$B$33,K215+K217,K215+K217+K237),K215)</f>
        <v>111642.90673039539</v>
      </c>
      <c r="L218" s="24">
        <f>IF(K161&lt;'Input Property 4'!$B$33,IF(L161&lt;'Input Property 4'!$B$33,L215+L217,L215+L217+L237),L215)</f>
        <v>114236.72788379522</v>
      </c>
      <c r="M218" s="24">
        <f>IF(L161&lt;'Input Property 4'!$B$33,IF(M161&lt;'Input Property 4'!$B$33,M215+M217,M215+M217+M237),M215)</f>
        <v>116863.66554443452</v>
      </c>
      <c r="N218" s="24">
        <f>IF(M161&lt;'Input Property 4'!$B$33,IF(N161&lt;'Input Property 4'!$B$33,N215+N217,N215+N217+N237),N215)</f>
        <v>119550.08609564227</v>
      </c>
      <c r="O218" s="24">
        <f>IF(N161&lt;'Input Property 4'!$B$33,IF(O161&lt;'Input Property 4'!$B$33,O215+O217,O215+O217+O237),O215)</f>
        <v>122289.89921393996</v>
      </c>
      <c r="P218" s="24">
        <f>IF(O161&lt;'Input Property 4'!$B$33,IF(P161&lt;'Input Property 4'!$B$33,P215+P217,P215+P217+P237),P215)</f>
        <v>125097.59451725963</v>
      </c>
      <c r="Q218" s="24">
        <f>IF(P161&lt;'Input Property 4'!$B$33,IF(Q161&lt;'Input Property 4'!$B$33,Q215+Q217,Q215+Q217+Q237),Q215)</f>
        <v>127936.43736733089</v>
      </c>
    </row>
    <row r="219" spans="1:17" x14ac:dyDescent="0.2">
      <c r="A219" s="38" t="s">
        <v>77</v>
      </c>
      <c r="B219"/>
      <c r="C219" s="24">
        <f>'Tax Table'!J12</f>
        <v>22362.368616183954</v>
      </c>
      <c r="D219" s="63">
        <f>'Tax Table'!J23</f>
        <v>22940.879630721625</v>
      </c>
      <c r="E219" s="24">
        <f>'Tax Table'!J33</f>
        <v>23802.85379836518</v>
      </c>
      <c r="F219" s="24">
        <f>'Tax Table'!J43</f>
        <v>24666.425719862647</v>
      </c>
      <c r="G219" s="24">
        <f>'Tax Table'!J53</f>
        <v>25535.678384826402</v>
      </c>
      <c r="H219" s="24">
        <f>'Tax Table'!J63</f>
        <v>26484.464719501724</v>
      </c>
      <c r="I219" s="24">
        <f>'Tax Table'!J73</f>
        <v>27373.432354733424</v>
      </c>
      <c r="J219" s="24">
        <f>'Tax Table'!J83</f>
        <v>28280.184223290817</v>
      </c>
      <c r="K219" s="24">
        <f>'Tax Table'!J93</f>
        <v>29203.620216683372</v>
      </c>
      <c r="L219" s="24">
        <f>'Tax Table'!J103</f>
        <v>30149.296444014479</v>
      </c>
      <c r="M219" s="24">
        <f>'Tax Table'!J113</f>
        <v>31105.627288147585</v>
      </c>
      <c r="N219" s="24">
        <f>'Tax Table'!J123</f>
        <v>32086.186192392874</v>
      </c>
      <c r="O219" s="24">
        <f>'Tax Table'!J133</f>
        <v>33087.540347502225</v>
      </c>
      <c r="P219" s="24">
        <f>'Tax Table'!J143</f>
        <v>34116.253346884128</v>
      </c>
      <c r="Q219" s="24">
        <f>'Tax Table'!J153</f>
        <v>35155.426167135942</v>
      </c>
    </row>
    <row r="220" spans="1:17" x14ac:dyDescent="0.2">
      <c r="A220" s="26" t="s">
        <v>71</v>
      </c>
      <c r="B220" s="20"/>
      <c r="C220" s="24">
        <f t="shared" ref="C220:Q220" si="43">C216-C219</f>
        <v>1103.7463838160475</v>
      </c>
      <c r="D220" s="24">
        <f t="shared" si="43"/>
        <v>1235.6353692783741</v>
      </c>
      <c r="E220" s="24">
        <f t="shared" si="43"/>
        <v>1098.2692016348228</v>
      </c>
      <c r="F220" s="24">
        <f t="shared" si="43"/>
        <v>973.79744013735399</v>
      </c>
      <c r="G220" s="24">
        <f t="shared" si="43"/>
        <v>858.42693837360275</v>
      </c>
      <c r="H220" s="24">
        <f t="shared" si="43"/>
        <v>678.60041016228206</v>
      </c>
      <c r="I220" s="24">
        <f t="shared" si="43"/>
        <v>573.97177752386415</v>
      </c>
      <c r="J220" s="24">
        <f t="shared" si="43"/>
        <v>467.24569161161344</v>
      </c>
      <c r="K220" s="24">
        <f t="shared" si="43"/>
        <v>359.83599651710756</v>
      </c>
      <c r="L220" s="24">
        <f t="shared" si="43"/>
        <v>246.50659345001623</v>
      </c>
      <c r="M220" s="24">
        <f t="shared" si="43"/>
        <v>139.16951006619638</v>
      </c>
      <c r="N220" s="24">
        <f t="shared" si="43"/>
        <v>24.584241785185441</v>
      </c>
      <c r="O220" s="24">
        <f t="shared" si="43"/>
        <v>-93.476804640602495</v>
      </c>
      <c r="P220" s="24">
        <f t="shared" si="43"/>
        <v>-221.23083316526754</v>
      </c>
      <c r="Q220" s="24">
        <f t="shared" si="43"/>
        <v>-341.42550314270193</v>
      </c>
    </row>
    <row r="221" spans="1:17" x14ac:dyDescent="0.2">
      <c r="A221" s="26" t="s">
        <v>166</v>
      </c>
      <c r="B221" s="20"/>
      <c r="C221" s="24">
        <f>C220/(C162/7)</f>
        <v>44.403590153519147</v>
      </c>
      <c r="D221" s="24">
        <f>D220/'Input Property 4'!$B$64</f>
        <v>23.648523813940173</v>
      </c>
      <c r="E221" s="24">
        <f>E220/'Input Property 4'!$B$64</f>
        <v>21.019506251384168</v>
      </c>
      <c r="F221" s="24">
        <f>F220/'Input Property 4'!$B$64</f>
        <v>18.637271581576154</v>
      </c>
      <c r="G221" s="24">
        <f>G220/'Input Property 4'!$B$64</f>
        <v>16.429223700930198</v>
      </c>
      <c r="H221" s="24">
        <f>H220/'Input Property 4'!$B$64</f>
        <v>12.987567658608269</v>
      </c>
      <c r="I221" s="24">
        <f>I220/'Input Property 4'!$B$64</f>
        <v>10.985105789930415</v>
      </c>
      <c r="J221" s="24">
        <f>J220/'Input Property 4'!$B$64</f>
        <v>8.9425012748634156</v>
      </c>
      <c r="K221" s="24">
        <f>K220/'Input Property 4'!$B$64</f>
        <v>6.8868133304709582</v>
      </c>
      <c r="L221" s="24">
        <f>L220/'Input Property 4'!$B$64</f>
        <v>4.7178295397132288</v>
      </c>
      <c r="M221" s="24">
        <f>M220/'Input Property 4'!$B$64</f>
        <v>2.6635312931329449</v>
      </c>
      <c r="N221" s="24">
        <f>N220/'Input Property 4'!$B$64</f>
        <v>0.47051180450115676</v>
      </c>
      <c r="O221" s="24">
        <f>O220/'Input Property 4'!$B$64</f>
        <v>-1.7890297538871291</v>
      </c>
      <c r="P221" s="24">
        <f>P220/'Input Property 4'!$B$64</f>
        <v>-4.2340829313926802</v>
      </c>
      <c r="Q221" s="24">
        <f>Q220/'Input Property 4'!$B$64</f>
        <v>-6.5344593902909462</v>
      </c>
    </row>
    <row r="222" spans="1:17" x14ac:dyDescent="0.2">
      <c r="A222" s="37"/>
      <c r="B222" s="20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</row>
    <row r="223" spans="1:17" x14ac:dyDescent="0.2">
      <c r="A223" s="9" t="s">
        <v>16</v>
      </c>
      <c r="B223" s="15"/>
      <c r="C223" s="39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</row>
    <row r="224" spans="1:17" x14ac:dyDescent="0.2">
      <c r="A224" s="19" t="s">
        <v>37</v>
      </c>
      <c r="B224" s="24"/>
      <c r="C224" s="24">
        <f>C189+C211+C220</f>
        <v>-1631.528600665366</v>
      </c>
      <c r="D224" s="24">
        <f>IF('Input Property 4'!$B$33&gt;C161,IF(D161&gt;'Input Property 4'!$B$33,D189+D211+D220+D234,D189+D211+D220),0)</f>
        <v>-3219.9900130088063</v>
      </c>
      <c r="E224" s="24">
        <f>IF('Input Property 4'!$B$33&gt;D161,IF(E161&gt;'Input Property 4'!$B$33,E189+E211+E220+E234,E189+E211+E220),0)</f>
        <v>-2950.5815208374952</v>
      </c>
      <c r="F224" s="24">
        <f>IF('Input Property 4'!$B$33&gt;E161,IF(F161&gt;'Input Property 4'!$B$33,F189+F211+F220+F234,F189+F211+F220),0)</f>
        <v>-2642.0812419351169</v>
      </c>
      <c r="G224" s="24">
        <f>IF('Input Property 4'!$B$33&gt;F161,IF(G161&gt;'Input Property 4'!$B$33,G189+G211+G220+G234,G189+G211+G220),0)</f>
        <v>-2301.4423485178631</v>
      </c>
      <c r="H224" s="24">
        <f>IF('Input Property 4'!$B$33&gt;G161,IF(H161&gt;'Input Property 4'!$B$33,H189+H211+H220+H234,H189+H211+H220),0)</f>
        <v>-2067.9488262957566</v>
      </c>
      <c r="I224" s="24">
        <f>IF('Input Property 4'!$B$33&gt;H161,IF(I161&gt;'Input Property 4'!$B$33,I189+I211+I220+I234,I189+I211+I220),0)</f>
        <v>-1684.3822716213908</v>
      </c>
      <c r="J224" s="24">
        <f>IF('Input Property 4'!$B$33&gt;I161,IF(J161&gt;'Input Property 4'!$B$33,J189+J211+J220+J234,J189+J211+J220),0)</f>
        <v>-1282.5207891126338</v>
      </c>
      <c r="K224" s="24">
        <f>IF('Input Property 4'!$B$33&gt;J161,IF(K161&gt;'Input Property 4'!$B$33,K189+K211+K220+K234,K189+K211+K220),0)</f>
        <v>-866.64368361002926</v>
      </c>
      <c r="L224" s="24">
        <f>IF('Input Property 4'!$B$33&gt;K161,IF(L161&gt;'Input Property 4'!$B$33,L189+L211+L220+L234,L189+L211+L220),0)</f>
        <v>-430.77381049328687</v>
      </c>
      <c r="M224" s="24">
        <f>IF('Input Property 4'!$B$33&gt;L161,IF(M161&gt;'Input Property 4'!$B$33,M189+M211+M220+M234,M189+M211+M220),0)</f>
        <v>1.1127573580233729</v>
      </c>
      <c r="N224" s="24">
        <f>IF('Input Property 4'!$B$33&gt;M161,IF(N161&gt;'Input Property 4'!$B$33,N189+N211+N220+N234,N189+N211+N220),0)</f>
        <v>451.13336422663633</v>
      </c>
      <c r="O224" s="24">
        <f>IF('Input Property 4'!$B$33&gt;N161,IF(O161&gt;'Input Property 4'!$B$33,O189+O211+O220+O234,O189+O211+O220),0)</f>
        <v>911.18219339146162</v>
      </c>
      <c r="P224" s="24">
        <f>IF('Input Property 4'!$B$33&gt;O161,IF(P161&gt;'Input Property 4'!$B$33,P189+P211+P220+P234,P189+P211+P220),0)</f>
        <v>1394.7876726208196</v>
      </c>
      <c r="Q224" s="24">
        <f>IF('Input Property 4'!$B$33&gt;P161,IF(Q161&gt;'Input Property 4'!$B$33,Q189+Q211+Q220+Q234,Q189+Q211+Q220),0)</f>
        <v>1860.2745663975584</v>
      </c>
    </row>
    <row r="225" spans="1:17" x14ac:dyDescent="0.2">
      <c r="A225" s="19" t="s">
        <v>172</v>
      </c>
      <c r="B225" s="20"/>
      <c r="C225" s="63">
        <f>C224/(C162/7)</f>
        <v>-65.636208072744608</v>
      </c>
      <c r="D225" s="63">
        <f>D224/'Input Property 4'!$B$64</f>
        <v>-61.626603119785763</v>
      </c>
      <c r="E225" s="63">
        <f>E224/'Input Property 4'!$B$64</f>
        <v>-56.470459728947276</v>
      </c>
      <c r="F225" s="63">
        <f>F224/'Input Property 4'!$B$64</f>
        <v>-50.566148171007022</v>
      </c>
      <c r="G225" s="63">
        <f>G224/'Input Property 4'!$B$64</f>
        <v>-44.0467435123036</v>
      </c>
      <c r="H225" s="63">
        <f>H224/'Input Property 4'!$B$64</f>
        <v>-39.577967967382904</v>
      </c>
      <c r="I225" s="63">
        <f>I224/'Input Property 4'!$B$64</f>
        <v>-32.236981275050539</v>
      </c>
      <c r="J225" s="63">
        <f>J224/'Input Property 4'!$B$64</f>
        <v>-24.545852423208302</v>
      </c>
      <c r="K225" s="63">
        <f>K224/'Input Property 4'!$B$64</f>
        <v>-16.586481982967069</v>
      </c>
      <c r="L225" s="63">
        <f>L224/'Input Property 4'!$B$64</f>
        <v>-8.2444748419767819</v>
      </c>
      <c r="M225" s="63">
        <f>M224/'Input Property 4'!$B$64</f>
        <v>2.1296791541117185E-2</v>
      </c>
      <c r="N225" s="63">
        <f>N224/'Input Property 4'!$B$64</f>
        <v>8.6341313727585902</v>
      </c>
      <c r="O225" s="63">
        <f>O224/'Input Property 4'!$B$64</f>
        <v>17.438893653425104</v>
      </c>
      <c r="P225" s="63">
        <f>P224/'Input Property 4'!$B$64</f>
        <v>26.694500911403246</v>
      </c>
      <c r="Q225" s="63">
        <f>Q224/'Input Property 4'!$B$64</f>
        <v>35.603340983685328</v>
      </c>
    </row>
    <row r="226" spans="1:17" x14ac:dyDescent="0.2">
      <c r="A226" s="9" t="s">
        <v>72</v>
      </c>
      <c r="B226"/>
      <c r="C226" s="1"/>
      <c r="D226" s="4">
        <v>2</v>
      </c>
      <c r="E226" s="2"/>
      <c r="F226"/>
      <c r="G226"/>
      <c r="H226"/>
      <c r="I226"/>
      <c r="J226"/>
      <c r="K226"/>
      <c r="L226"/>
      <c r="M226"/>
      <c r="N226"/>
      <c r="O226"/>
      <c r="P226"/>
      <c r="Q226"/>
    </row>
    <row r="227" spans="1:17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</row>
    <row r="228" spans="1:17" x14ac:dyDescent="0.2">
      <c r="A228" t="s">
        <v>226</v>
      </c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</row>
    <row r="229" spans="1:17" x14ac:dyDescent="0.2">
      <c r="A229" t="s">
        <v>227</v>
      </c>
      <c r="B229"/>
      <c r="C229" s="194">
        <f>'Data Property 4'!C102-'Data Property 4'!C103</f>
        <v>133438.35616438359</v>
      </c>
      <c r="D229" s="194">
        <f>'Data Property 4'!D102-'Data Property 4'!D103</f>
        <v>186514.25753424666</v>
      </c>
      <c r="E229" s="194">
        <f>'Data Property 4'!E102-'Data Property 4'!E103</f>
        <v>242774.7129863014</v>
      </c>
      <c r="F229" s="194">
        <f>'Data Property 4'!F102-'Data Property 4'!F103</f>
        <v>302410.79576547956</v>
      </c>
      <c r="G229" s="194">
        <f>'Data Property 4'!G102-'Data Property 4'!G103</f>
        <v>365625.04351140838</v>
      </c>
      <c r="H229" s="194">
        <f>'Data Property 4'!H102-'Data Property 4'!H103</f>
        <v>432632.14612209285</v>
      </c>
      <c r="I229" s="194">
        <f>'Data Property 4'!I102-'Data Property 4'!I103</f>
        <v>503659.6748894183</v>
      </c>
      <c r="J229" s="194">
        <f>'Data Property 4'!J102-'Data Property 4'!J103</f>
        <v>578948.85538278334</v>
      </c>
      <c r="K229" s="194">
        <f>'Data Property 4'!K102-'Data Property 4'!K103</f>
        <v>658755.38670575037</v>
      </c>
      <c r="L229" s="194">
        <f>'Data Property 4'!L102-'Data Property 4'!L103</f>
        <v>743350.30990809528</v>
      </c>
      <c r="M229" s="194">
        <f>'Data Property 4'!M102-'Data Property 4'!M103</f>
        <v>833020.92850258108</v>
      </c>
      <c r="N229" s="194">
        <f>'Data Property 4'!N102-'Data Property 4'!N103</f>
        <v>928071.78421273595</v>
      </c>
      <c r="O229" s="194">
        <f>'Data Property 4'!O102-'Data Property 4'!O103</f>
        <v>1028825.6912655002</v>
      </c>
      <c r="P229" s="194">
        <f>'Data Property 4'!P102-'Data Property 4'!P103</f>
        <v>1135624.8327414303</v>
      </c>
      <c r="Q229" s="194">
        <f>'Data Property 4'!Q102-'Data Property 4'!Q103</f>
        <v>1248831.922705916</v>
      </c>
    </row>
    <row r="230" spans="1:17" x14ac:dyDescent="0.2">
      <c r="A230" t="s">
        <v>228</v>
      </c>
      <c r="B230"/>
      <c r="C230" s="195">
        <f>'Input Property 4'!$F$13</f>
        <v>20760</v>
      </c>
      <c r="D230" s="195">
        <f>'Input Property 4'!$F$13</f>
        <v>20760</v>
      </c>
      <c r="E230" s="195">
        <f>'Input Property 4'!$F$13</f>
        <v>20760</v>
      </c>
      <c r="F230" s="195">
        <f>'Input Property 4'!$F$13</f>
        <v>20760</v>
      </c>
      <c r="G230" s="195">
        <f>'Input Property 4'!$F$13</f>
        <v>20760</v>
      </c>
      <c r="H230" s="195">
        <f>'Input Property 4'!$F$13</f>
        <v>20760</v>
      </c>
      <c r="I230" s="195">
        <f>'Input Property 4'!$F$13</f>
        <v>20760</v>
      </c>
      <c r="J230" s="195">
        <f>'Input Property 4'!$F$13</f>
        <v>20760</v>
      </c>
      <c r="K230" s="195">
        <f>'Input Property 4'!$F$13</f>
        <v>20760</v>
      </c>
      <c r="L230" s="195">
        <f>'Input Property 4'!$F$13</f>
        <v>20760</v>
      </c>
      <c r="M230" s="195">
        <f>'Input Property 4'!$F$13</f>
        <v>20760</v>
      </c>
      <c r="N230" s="195">
        <f>'Input Property 4'!$F$13</f>
        <v>20760</v>
      </c>
      <c r="O230" s="195">
        <f>'Input Property 4'!$F$13</f>
        <v>20760</v>
      </c>
      <c r="P230" s="195">
        <f>'Input Property 4'!$F$13</f>
        <v>20760</v>
      </c>
      <c r="Q230" s="195">
        <f>'Input Property 4'!$F$13</f>
        <v>20760</v>
      </c>
    </row>
    <row r="231" spans="1:17" x14ac:dyDescent="0.2">
      <c r="A231" t="s">
        <v>229</v>
      </c>
      <c r="B231"/>
      <c r="C231" s="195">
        <f>'Data Property 4'!C102*'Input Property 4'!B59</f>
        <v>26537.950684931508</v>
      </c>
      <c r="D231" s="195">
        <f>'Data Property 4'!D102*'Input Property 4'!C59</f>
        <v>28833.483419178083</v>
      </c>
      <c r="E231" s="195">
        <f>'Data Property 4'!E102*'Input Property 4'!D59</f>
        <v>31327.579734936979</v>
      </c>
      <c r="F231" s="195">
        <f>'Data Property 4'!F102*'Input Property 4'!E59</f>
        <v>34037.415382009029</v>
      </c>
      <c r="G231" s="195">
        <f>'Data Property 4'!G102*'Input Property 4'!F59</f>
        <v>36981.651812552809</v>
      </c>
      <c r="H231" s="195">
        <f>'Data Property 4'!H102*'Input Property 4'!G59</f>
        <v>40180.564694338624</v>
      </c>
      <c r="I231" s="195">
        <f>'Data Property 4'!I102*'Input Property 4'!H59</f>
        <v>43656.18354039891</v>
      </c>
      <c r="J231" s="195">
        <f>'Data Property 4'!J102*'Input Property 4'!I59</f>
        <v>47432.443416643408</v>
      </c>
      <c r="K231" s="195">
        <f>'Data Property 4'!K102*'Input Property 4'!J59</f>
        <v>51535.349772183057</v>
      </c>
      <c r="L231" s="195">
        <f>'Data Property 4'!L102*'Input Property 4'!K59</f>
        <v>55993.157527476891</v>
      </c>
      <c r="M231" s="195">
        <f>'Data Property 4'!M102*'Input Property 4'!L59</f>
        <v>60836.565653603633</v>
      </c>
      <c r="N231" s="195">
        <f>'Data Property 4'!N102*'Input Property 4'!M59</f>
        <v>66098.928582640336</v>
      </c>
      <c r="O231" s="195">
        <f>'Data Property 4'!O102*'Input Property 4'!N59</f>
        <v>71816.485905038717</v>
      </c>
      <c r="P231" s="195">
        <f>'Data Property 4'!P102*'Input Property 4'!O59</f>
        <v>78028.611935824563</v>
      </c>
      <c r="Q231" s="195">
        <f>'Data Property 4'!Q102*'Input Property 4'!P59</f>
        <v>84778.086868273371</v>
      </c>
    </row>
    <row r="232" spans="1:17" x14ac:dyDescent="0.2">
      <c r="A232" t="s">
        <v>237</v>
      </c>
      <c r="B232"/>
      <c r="C232" s="195">
        <f>'Input Property 4'!B60</f>
        <v>3000</v>
      </c>
      <c r="D232" s="195">
        <f>'Input Property 4'!C60</f>
        <v>3074.9999999999995</v>
      </c>
      <c r="E232" s="195">
        <f>'Input Property 4'!D60</f>
        <v>3151.8749999999991</v>
      </c>
      <c r="F232" s="195">
        <f>'Input Property 4'!E60</f>
        <v>3230.6718749999986</v>
      </c>
      <c r="G232" s="195">
        <f>'Input Property 4'!F60</f>
        <v>3311.4386718749984</v>
      </c>
      <c r="H232" s="195">
        <f>'Input Property 4'!G60</f>
        <v>3394.224638671873</v>
      </c>
      <c r="I232" s="195">
        <f>'Input Property 4'!H60</f>
        <v>3479.0802546386694</v>
      </c>
      <c r="J232" s="195">
        <f>'Input Property 4'!I60</f>
        <v>3566.0572610046361</v>
      </c>
      <c r="K232" s="195">
        <f>'Input Property 4'!J60</f>
        <v>3655.2086925297517</v>
      </c>
      <c r="L232" s="195">
        <f>'Input Property 4'!K60</f>
        <v>3746.5889098429952</v>
      </c>
      <c r="M232" s="195">
        <f>'Input Property 4'!L60</f>
        <v>3840.2536325890696</v>
      </c>
      <c r="N232" s="195">
        <f>'Input Property 4'!M60</f>
        <v>3936.2599734037958</v>
      </c>
      <c r="O232" s="195">
        <f>'Input Property 4'!N60</f>
        <v>4034.6664727388902</v>
      </c>
      <c r="P232" s="195">
        <f>'Input Property 4'!O60</f>
        <v>4135.5331345573622</v>
      </c>
      <c r="Q232" s="195">
        <f>'Input Property 4'!P60</f>
        <v>4238.9214629212956</v>
      </c>
    </row>
    <row r="233" spans="1:17" x14ac:dyDescent="0.2">
      <c r="A233" t="s">
        <v>240</v>
      </c>
      <c r="B233"/>
      <c r="C233" s="195">
        <f>C197</f>
        <v>0</v>
      </c>
      <c r="D233" s="195">
        <f>SUM($C197:D$197)</f>
        <v>0</v>
      </c>
      <c r="E233" s="195">
        <f>SUM($C197:E$197)</f>
        <v>0</v>
      </c>
      <c r="F233" s="195">
        <f>SUM($C197:F$197)</f>
        <v>0</v>
      </c>
      <c r="G233" s="195">
        <f>SUM($C197:G$197)</f>
        <v>0</v>
      </c>
      <c r="H233" s="195">
        <f>SUM($C197:H$197)</f>
        <v>0</v>
      </c>
      <c r="I233" s="195">
        <f>SUM($C197:I$197)</f>
        <v>0</v>
      </c>
      <c r="J233" s="195">
        <f>SUM($C197:J$197)</f>
        <v>0</v>
      </c>
      <c r="K233" s="195">
        <f>SUM($C197:K$197)</f>
        <v>0</v>
      </c>
      <c r="L233" s="195">
        <f>SUM($C197:L$197)</f>
        <v>0</v>
      </c>
      <c r="M233" s="195">
        <f>SUM($C197:M$197)</f>
        <v>0</v>
      </c>
      <c r="N233" s="195">
        <f>SUM($C197:N$197)</f>
        <v>0</v>
      </c>
      <c r="O233" s="195">
        <f>SUM($C197:O$197)</f>
        <v>0</v>
      </c>
      <c r="P233" s="195">
        <f>SUM($C197:P$197)</f>
        <v>0</v>
      </c>
      <c r="Q233" s="195">
        <f>SUM($C197:Q$197)</f>
        <v>0</v>
      </c>
    </row>
    <row r="234" spans="1:17" x14ac:dyDescent="0.2">
      <c r="A234" t="s">
        <v>234</v>
      </c>
      <c r="B234"/>
      <c r="C234" s="195">
        <f t="shared" ref="C234:Q234" si="44">C229-C230-C231-C232+C233</f>
        <v>83140.405479452078</v>
      </c>
      <c r="D234" s="195">
        <f t="shared" si="44"/>
        <v>133845.77411506858</v>
      </c>
      <c r="E234" s="195">
        <f t="shared" si="44"/>
        <v>187535.25825136443</v>
      </c>
      <c r="F234" s="195">
        <f t="shared" si="44"/>
        <v>244382.70850847053</v>
      </c>
      <c r="G234" s="195">
        <f t="shared" si="44"/>
        <v>304571.95302698057</v>
      </c>
      <c r="H234" s="195">
        <f t="shared" si="44"/>
        <v>368297.35678908241</v>
      </c>
      <c r="I234" s="195">
        <f t="shared" si="44"/>
        <v>435764.41109438072</v>
      </c>
      <c r="J234" s="195">
        <f t="shared" si="44"/>
        <v>507190.35470513528</v>
      </c>
      <c r="K234" s="195">
        <f t="shared" si="44"/>
        <v>582804.82824103755</v>
      </c>
      <c r="L234" s="195">
        <f t="shared" si="44"/>
        <v>662850.56347077538</v>
      </c>
      <c r="M234" s="195">
        <f t="shared" si="44"/>
        <v>747584.10921638831</v>
      </c>
      <c r="N234" s="195">
        <f t="shared" si="44"/>
        <v>837276.59565669182</v>
      </c>
      <c r="O234" s="195">
        <f t="shared" si="44"/>
        <v>932214.53888772265</v>
      </c>
      <c r="P234" s="195">
        <f t="shared" si="44"/>
        <v>1032700.6876710483</v>
      </c>
      <c r="Q234" s="195">
        <f t="shared" si="44"/>
        <v>1139054.9143747215</v>
      </c>
    </row>
    <row r="235" spans="1:17" x14ac:dyDescent="0.2">
      <c r="A235" t="s">
        <v>231</v>
      </c>
      <c r="B235"/>
      <c r="C235" s="195">
        <f>IF(C234&lt;0,C234,IF('Input Property 4'!$B$33&gt;('Input Property 4'!$B$21+365),C234*0.5))</f>
        <v>41570.202739726039</v>
      </c>
      <c r="D235" s="195">
        <f>IF(D234&lt;0,D234,IF('Input Property 4'!$B$33&gt;('Input Property 4'!$B$21+365),D234*0.5))</f>
        <v>66922.887057534288</v>
      </c>
      <c r="E235" s="195">
        <f>IF(E234&lt;0,E234,IF('Input Property 4'!$B$33&gt;('Input Property 4'!$B$21+365),E234*0.5))</f>
        <v>93767.629125682215</v>
      </c>
      <c r="F235" s="195">
        <f>IF(F234&lt;0,F234,IF('Input Property 4'!$B$33&gt;('Input Property 4'!$B$21+365),F234*0.5))</f>
        <v>122191.35425423527</v>
      </c>
      <c r="G235" s="195">
        <f>IF(G234&lt;0,G234,IF('Input Property 4'!$B$33&gt;('Input Property 4'!$B$21+365),G234*0.5))</f>
        <v>152285.97651349028</v>
      </c>
      <c r="H235" s="195">
        <f>IF(H234&lt;0,H234,IF('Input Property 4'!$B$33&gt;('Input Property 4'!$B$21+365),H234*0.5))</f>
        <v>184148.6783945412</v>
      </c>
      <c r="I235" s="195">
        <f>IF(I234&lt;0,I234,IF('Input Property 4'!$B$33&gt;('Input Property 4'!$B$21+365),I234*0.5))</f>
        <v>217882.20554719036</v>
      </c>
      <c r="J235" s="195">
        <f>IF(J234&lt;0,J234,IF('Input Property 4'!$B$33&gt;('Input Property 4'!$B$21+365),J234*0.5))</f>
        <v>253595.17735256764</v>
      </c>
      <c r="K235" s="195">
        <f>IF(K234&lt;0,K234,IF('Input Property 4'!$B$33&gt;('Input Property 4'!$B$21+365),K234*0.5))</f>
        <v>291402.41412051878</v>
      </c>
      <c r="L235" s="195">
        <f>IF(L234&lt;0,L234,IF('Input Property 4'!$B$33&gt;('Input Property 4'!$B$21+365),L234*0.5))</f>
        <v>331425.28173538769</v>
      </c>
      <c r="M235" s="195">
        <f>IF(M234&lt;0,M234,IF('Input Property 4'!$B$33&gt;('Input Property 4'!$B$21+365),M234*0.5))</f>
        <v>373792.05460819416</v>
      </c>
      <c r="N235" s="195">
        <f>IF(N234&lt;0,N234,IF('Input Property 4'!$B$33&gt;('Input Property 4'!$B$21+365),N234*0.5))</f>
        <v>418638.29782834591</v>
      </c>
      <c r="O235" s="195">
        <f>IF(O234&lt;0,O234,IF('Input Property 4'!$B$33&gt;('Input Property 4'!$B$21+365),O234*0.5))</f>
        <v>466107.26944386133</v>
      </c>
      <c r="P235" s="195">
        <f>IF(P234&lt;0,P234,IF('Input Property 4'!$B$33&gt;('Input Property 4'!$B$21+365),P234*0.5))</f>
        <v>516350.34383552417</v>
      </c>
      <c r="Q235" s="195">
        <f>IF(Q234&lt;0,Q234,IF('Input Property 4'!$B$33&gt;('Input Property 4'!$B$21+365),Q234*0.5))</f>
        <v>569527.45718736073</v>
      </c>
    </row>
    <row r="236" spans="1:17" x14ac:dyDescent="0.2">
      <c r="A236" t="s">
        <v>232</v>
      </c>
      <c r="B236"/>
      <c r="C236" s="195">
        <f>C235*'Input Property 4'!$B$26</f>
        <v>20785.101369863019</v>
      </c>
      <c r="D236" s="195">
        <f>D235*'Input Property 4'!$B$26</f>
        <v>33461.443528767144</v>
      </c>
      <c r="E236" s="195">
        <f>E235*'Input Property 4'!$B$26</f>
        <v>46883.814562841108</v>
      </c>
      <c r="F236" s="195">
        <f>F235*'Input Property 4'!$B$26</f>
        <v>61095.677127117633</v>
      </c>
      <c r="G236" s="195">
        <f>G235*'Input Property 4'!$B$26</f>
        <v>76142.988256745142</v>
      </c>
      <c r="H236" s="195">
        <f>H235*'Input Property 4'!$B$26</f>
        <v>92074.339197270601</v>
      </c>
      <c r="I236" s="195">
        <f>I235*'Input Property 4'!$B$26</f>
        <v>108941.10277359518</v>
      </c>
      <c r="J236" s="195">
        <f>J235*'Input Property 4'!$B$26</f>
        <v>126797.58867628382</v>
      </c>
      <c r="K236" s="195">
        <f>K235*'Input Property 4'!$B$26</f>
        <v>145701.20706025939</v>
      </c>
      <c r="L236" s="195">
        <f>L235*'Input Property 4'!$B$26</f>
        <v>165712.64086769384</v>
      </c>
      <c r="M236" s="195">
        <f>M235*'Input Property 4'!$B$26</f>
        <v>186896.02730409708</v>
      </c>
      <c r="N236" s="195">
        <f>N235*'Input Property 4'!$B$26</f>
        <v>209319.14891417295</v>
      </c>
      <c r="O236" s="195">
        <f>O235*'Input Property 4'!$B$26</f>
        <v>233053.63472193066</v>
      </c>
      <c r="P236" s="195">
        <f>P235*'Input Property 4'!$B$26</f>
        <v>258175.17191776208</v>
      </c>
      <c r="Q236" s="195">
        <f>Q235*'Input Property 4'!$B$26</f>
        <v>284763.72859368037</v>
      </c>
    </row>
    <row r="237" spans="1:17" x14ac:dyDescent="0.2">
      <c r="A237" t="s">
        <v>233</v>
      </c>
      <c r="B237"/>
      <c r="C237" s="195">
        <f>C235*'Input Property 4'!$B$27</f>
        <v>20785.101369863019</v>
      </c>
      <c r="D237" s="195">
        <f>D235*'Input Property 4'!$B$27</f>
        <v>33461.443528767144</v>
      </c>
      <c r="E237" s="195">
        <f>E235*'Input Property 4'!$B$27</f>
        <v>46883.814562841108</v>
      </c>
      <c r="F237" s="195">
        <f>F235*'Input Property 4'!$B$27</f>
        <v>61095.677127117633</v>
      </c>
      <c r="G237" s="195">
        <f>G235*'Input Property 4'!$B$27</f>
        <v>76142.988256745142</v>
      </c>
      <c r="H237" s="195">
        <f>H235*'Input Property 4'!$B$27</f>
        <v>92074.339197270601</v>
      </c>
      <c r="I237" s="195">
        <f>I235*'Input Property 4'!$B$27</f>
        <v>108941.10277359518</v>
      </c>
      <c r="J237" s="195">
        <f>J235*'Input Property 4'!$B$27</f>
        <v>126797.58867628382</v>
      </c>
      <c r="K237" s="195">
        <f>K235*'Input Property 4'!$B$27</f>
        <v>145701.20706025939</v>
      </c>
      <c r="L237" s="195">
        <f>L235*'Input Property 4'!$B$27</f>
        <v>165712.64086769384</v>
      </c>
      <c r="M237" s="195">
        <f>M235*'Input Property 4'!$B$27</f>
        <v>186896.02730409708</v>
      </c>
      <c r="N237" s="195">
        <f>N235*'Input Property 4'!$B$27</f>
        <v>209319.14891417295</v>
      </c>
      <c r="O237" s="195">
        <f>O235*'Input Property 4'!$B$27</f>
        <v>233053.63472193066</v>
      </c>
      <c r="P237" s="195">
        <f>P235*'Input Property 4'!$B$27</f>
        <v>258175.17191776208</v>
      </c>
      <c r="Q237" s="195">
        <f>Q235*'Input Property 4'!$B$27</f>
        <v>284763.72859368037</v>
      </c>
    </row>
  </sheetData>
  <pageMargins left="0.47" right="0.5" top="1" bottom="1" header="0.5" footer="0.5"/>
  <pageSetup paperSize="9" orientation="landscape" horizontalDpi="300" verticalDpi="300" r:id="rId1"/>
  <headerFooter alignWithMargins="0">
    <oddHeader>&amp;C&amp;F &amp;A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67"/>
  <sheetViews>
    <sheetView zoomScale="70" zoomScaleNormal="70" workbookViewId="0">
      <selection activeCell="F13" sqref="F13"/>
    </sheetView>
  </sheetViews>
  <sheetFormatPr defaultColWidth="9.140625" defaultRowHeight="12.75" x14ac:dyDescent="0.2"/>
  <cols>
    <col min="1" max="1" width="28.140625" style="46" customWidth="1"/>
    <col min="2" max="2" width="12.42578125" style="46" bestFit="1" customWidth="1"/>
    <col min="3" max="6" width="10.42578125" style="46" customWidth="1"/>
    <col min="7" max="7" width="11.5703125" style="46" customWidth="1"/>
    <col min="8" max="16" width="10.42578125" style="46" customWidth="1"/>
    <col min="17" max="17" width="10.42578125" style="46" hidden="1" customWidth="1"/>
    <col min="18" max="22" width="0" style="46" hidden="1" customWidth="1"/>
    <col min="23" max="16384" width="9.140625" style="46"/>
  </cols>
  <sheetData>
    <row r="1" spans="1:25" x14ac:dyDescent="0.2">
      <c r="A1" s="72" t="s">
        <v>145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25" x14ac:dyDescent="0.2">
      <c r="A2" s="155" t="s">
        <v>8</v>
      </c>
      <c r="B2" s="254" t="s">
        <v>1</v>
      </c>
      <c r="C2" s="156"/>
      <c r="D2" s="156"/>
      <c r="E2" s="157" t="s">
        <v>38</v>
      </c>
      <c r="F2" s="158"/>
      <c r="G2" s="156"/>
      <c r="H2" s="156"/>
      <c r="I2" s="156"/>
      <c r="J2" s="157" t="s">
        <v>43</v>
      </c>
      <c r="K2" s="159"/>
      <c r="L2" s="71"/>
    </row>
    <row r="3" spans="1:25" x14ac:dyDescent="0.2">
      <c r="A3" s="160" t="s">
        <v>117</v>
      </c>
      <c r="B3" s="137">
        <v>160000</v>
      </c>
      <c r="E3" s="138" t="s">
        <v>60</v>
      </c>
      <c r="F3" s="51">
        <f>Duties!B1</f>
        <v>19660</v>
      </c>
      <c r="J3" s="138" t="s">
        <v>9</v>
      </c>
      <c r="K3" s="161">
        <f>Duties!B10</f>
        <v>1410</v>
      </c>
      <c r="L3" s="71"/>
      <c r="W3" s="46" t="s">
        <v>172</v>
      </c>
      <c r="Y3" s="46" t="s">
        <v>1</v>
      </c>
    </row>
    <row r="4" spans="1:25" x14ac:dyDescent="0.2">
      <c r="A4" s="160" t="s">
        <v>11</v>
      </c>
      <c r="B4" s="137">
        <v>35000</v>
      </c>
      <c r="E4" s="138" t="s">
        <v>68</v>
      </c>
      <c r="F4" s="139"/>
      <c r="J4" s="140" t="s">
        <v>85</v>
      </c>
      <c r="K4" s="161">
        <v>0</v>
      </c>
      <c r="L4" s="71"/>
      <c r="M4" s="141"/>
      <c r="W4" s="46" t="s">
        <v>215</v>
      </c>
      <c r="Y4" s="46" t="s">
        <v>0</v>
      </c>
    </row>
    <row r="5" spans="1:25" x14ac:dyDescent="0.2">
      <c r="A5" s="160" t="s">
        <v>86</v>
      </c>
      <c r="B5" s="142">
        <f>'Input Property 5'!B3+F13+K13</f>
        <v>182570</v>
      </c>
      <c r="C5" s="142"/>
      <c r="E5" s="138" t="s">
        <v>61</v>
      </c>
      <c r="F5" s="139">
        <v>800</v>
      </c>
      <c r="J5" s="140" t="s">
        <v>221</v>
      </c>
      <c r="K5" s="162">
        <f>K4*0.11</f>
        <v>0</v>
      </c>
      <c r="L5" s="71"/>
      <c r="M5" s="141"/>
      <c r="W5" s="46" t="s">
        <v>216</v>
      </c>
      <c r="Y5" s="46" t="s">
        <v>5</v>
      </c>
    </row>
    <row r="6" spans="1:25" x14ac:dyDescent="0.2">
      <c r="A6" s="160" t="s">
        <v>17</v>
      </c>
      <c r="B6" s="137">
        <v>230</v>
      </c>
      <c r="E6" s="138" t="s">
        <v>62</v>
      </c>
      <c r="F6" s="139"/>
      <c r="G6" s="51"/>
      <c r="J6" s="138" t="s">
        <v>87</v>
      </c>
      <c r="K6" s="163"/>
      <c r="L6" s="71"/>
      <c r="M6" s="141"/>
      <c r="W6" s="46" t="s">
        <v>217</v>
      </c>
      <c r="Y6" s="46" t="s">
        <v>7</v>
      </c>
    </row>
    <row r="7" spans="1:25" x14ac:dyDescent="0.2">
      <c r="A7" s="160" t="s">
        <v>149</v>
      </c>
      <c r="B7" s="143">
        <v>50</v>
      </c>
      <c r="E7" s="138" t="s">
        <v>63</v>
      </c>
      <c r="F7" s="139"/>
      <c r="G7" s="51"/>
      <c r="J7" s="138" t="s">
        <v>222</v>
      </c>
      <c r="K7" s="162">
        <f>K6*0.11</f>
        <v>0</v>
      </c>
      <c r="L7" s="71"/>
      <c r="M7" s="141"/>
      <c r="W7" s="46" t="s">
        <v>37</v>
      </c>
      <c r="Y7" s="46" t="s">
        <v>4</v>
      </c>
    </row>
    <row r="8" spans="1:25" x14ac:dyDescent="0.2">
      <c r="A8" s="212" t="s">
        <v>84</v>
      </c>
      <c r="B8" s="147">
        <f>(B3-B4)/B3</f>
        <v>0.78125</v>
      </c>
      <c r="C8" s="249" t="str">
        <f>IF(B8&gt;0.8,"LMI?","")</f>
        <v/>
      </c>
      <c r="E8" s="138" t="s">
        <v>64</v>
      </c>
      <c r="F8" s="139">
        <v>300</v>
      </c>
      <c r="G8" s="51"/>
      <c r="J8" s="140" t="s">
        <v>73</v>
      </c>
      <c r="K8" s="161">
        <v>0</v>
      </c>
      <c r="L8" s="71"/>
      <c r="M8" s="141"/>
      <c r="Y8" s="46" t="s">
        <v>6</v>
      </c>
    </row>
    <row r="9" spans="1:25" x14ac:dyDescent="0.2">
      <c r="A9" s="85"/>
      <c r="J9" s="140" t="s">
        <v>65</v>
      </c>
      <c r="K9" s="161"/>
      <c r="L9" s="71"/>
      <c r="M9" s="141"/>
      <c r="Y9" s="46" t="s">
        <v>3</v>
      </c>
    </row>
    <row r="10" spans="1:25" x14ac:dyDescent="0.2">
      <c r="A10" s="85"/>
      <c r="G10" s="51"/>
      <c r="J10" s="138" t="s">
        <v>67</v>
      </c>
      <c r="K10" s="161"/>
      <c r="L10" s="71"/>
      <c r="M10" s="141"/>
      <c r="Y10" s="46" t="s">
        <v>2</v>
      </c>
    </row>
    <row r="11" spans="1:25" x14ac:dyDescent="0.2">
      <c r="A11" s="85"/>
      <c r="F11" s="51"/>
      <c r="G11" s="51"/>
      <c r="J11" s="138" t="s">
        <v>66</v>
      </c>
      <c r="K11" s="161">
        <v>400</v>
      </c>
      <c r="L11" s="71"/>
      <c r="M11" s="141"/>
    </row>
    <row r="12" spans="1:25" x14ac:dyDescent="0.2">
      <c r="A12" s="85"/>
      <c r="K12" s="164"/>
      <c r="L12" s="71"/>
      <c r="M12" s="141"/>
    </row>
    <row r="13" spans="1:25" x14ac:dyDescent="0.2">
      <c r="A13" s="88"/>
      <c r="B13" s="165"/>
      <c r="C13" s="165"/>
      <c r="D13" s="165"/>
      <c r="E13" s="166" t="s">
        <v>44</v>
      </c>
      <c r="F13" s="167">
        <f>SUM(F3:F11)</f>
        <v>20760</v>
      </c>
      <c r="G13" s="165"/>
      <c r="H13" s="165"/>
      <c r="I13" s="165"/>
      <c r="J13" s="168" t="s">
        <v>44</v>
      </c>
      <c r="K13" s="169">
        <f>SUM(K3:K11)</f>
        <v>1810</v>
      </c>
      <c r="L13" s="71"/>
    </row>
    <row r="14" spans="1:25" hidden="1" x14ac:dyDescent="0.2">
      <c r="A14" s="136" t="s">
        <v>82</v>
      </c>
      <c r="B14" s="145">
        <f>'Input Property 5'!B3+F13+SUM(K4:K11)-B4</f>
        <v>146160</v>
      </c>
      <c r="C14" s="82"/>
      <c r="D14" s="82"/>
      <c r="E14" s="200"/>
      <c r="F14" s="201"/>
      <c r="G14" s="82"/>
      <c r="H14" s="82"/>
      <c r="I14" s="82"/>
      <c r="J14" s="202"/>
      <c r="K14" s="203"/>
      <c r="L14" s="71"/>
    </row>
    <row r="15" spans="1:25" x14ac:dyDescent="0.2">
      <c r="A15" s="60"/>
      <c r="B15" s="60"/>
      <c r="C15" s="60"/>
      <c r="D15" s="82"/>
      <c r="E15" s="82"/>
      <c r="F15" s="82"/>
      <c r="G15" s="82"/>
      <c r="H15" s="60"/>
      <c r="I15" s="60"/>
      <c r="J15" s="60"/>
      <c r="K15" s="60"/>
    </row>
    <row r="16" spans="1:25" x14ac:dyDescent="0.2">
      <c r="A16" s="136" t="s">
        <v>82</v>
      </c>
      <c r="B16" s="142">
        <f>B5-B4+Duties!B10</f>
        <v>148980</v>
      </c>
      <c r="C16" s="75"/>
      <c r="D16" s="178"/>
      <c r="E16" s="381" t="s">
        <v>213</v>
      </c>
      <c r="F16" s="382"/>
      <c r="G16" s="171"/>
      <c r="H16" s="71"/>
      <c r="I16" s="170"/>
      <c r="J16" s="156" t="s">
        <v>219</v>
      </c>
      <c r="K16" s="171"/>
    </row>
    <row r="17" spans="1:22" x14ac:dyDescent="0.2">
      <c r="A17" s="136" t="s">
        <v>83</v>
      </c>
      <c r="B17" s="145"/>
      <c r="C17" s="75"/>
      <c r="D17" s="379" t="s">
        <v>119</v>
      </c>
      <c r="E17" s="380"/>
      <c r="F17" s="217">
        <v>0.08</v>
      </c>
      <c r="G17" s="164"/>
      <c r="H17" s="71"/>
      <c r="I17" s="379" t="s">
        <v>119</v>
      </c>
      <c r="J17" s="380"/>
      <c r="K17" s="183">
        <f>F17</f>
        <v>0.08</v>
      </c>
    </row>
    <row r="18" spans="1:22" x14ac:dyDescent="0.2">
      <c r="A18" s="136" t="s">
        <v>88</v>
      </c>
      <c r="B18" s="255">
        <v>0.05</v>
      </c>
      <c r="C18" s="75"/>
      <c r="D18" s="85"/>
      <c r="E18" s="179" t="s">
        <v>54</v>
      </c>
      <c r="F18" s="181">
        <v>300</v>
      </c>
      <c r="G18" s="182" t="s">
        <v>217</v>
      </c>
      <c r="H18" s="71"/>
      <c r="I18" s="85"/>
      <c r="J18" s="146" t="s">
        <v>54</v>
      </c>
      <c r="K18" s="184">
        <f t="shared" ref="K18:K31" si="0">IF(G18=$W$3,F18*52.25,IF(G18=$W$4,F18*26,IF(G18=$W$5,F18*12,IF(G18=$W$6,F18*4,IF(G18=$W$7,F18,0)))))</f>
        <v>1200</v>
      </c>
    </row>
    <row r="19" spans="1:22" x14ac:dyDescent="0.2">
      <c r="A19" s="136" t="s">
        <v>89</v>
      </c>
      <c r="B19" s="147"/>
      <c r="C19" s="75"/>
      <c r="D19" s="85"/>
      <c r="E19" s="179" t="s">
        <v>55</v>
      </c>
      <c r="F19" s="181">
        <v>1000</v>
      </c>
      <c r="G19" s="182" t="s">
        <v>37</v>
      </c>
      <c r="H19" s="71"/>
      <c r="I19" s="85"/>
      <c r="J19" s="146" t="s">
        <v>55</v>
      </c>
      <c r="K19" s="184">
        <f t="shared" si="0"/>
        <v>1000</v>
      </c>
    </row>
    <row r="20" spans="1:22" x14ac:dyDescent="0.2">
      <c r="A20" s="136" t="s">
        <v>29</v>
      </c>
      <c r="B20" s="148">
        <v>40550</v>
      </c>
      <c r="C20" s="75"/>
      <c r="D20" s="85"/>
      <c r="E20" s="179" t="s">
        <v>212</v>
      </c>
      <c r="F20" s="181">
        <v>0</v>
      </c>
      <c r="G20" s="182" t="s">
        <v>172</v>
      </c>
      <c r="H20" s="71"/>
      <c r="I20" s="85"/>
      <c r="J20" s="146" t="s">
        <v>212</v>
      </c>
      <c r="K20" s="184">
        <f t="shared" si="0"/>
        <v>0</v>
      </c>
    </row>
    <row r="21" spans="1:22" x14ac:dyDescent="0.2">
      <c r="A21" s="136" t="s">
        <v>155</v>
      </c>
      <c r="B21" s="251">
        <f>DATE(YEAR(B20),6,30)</f>
        <v>40724</v>
      </c>
      <c r="C21" s="75"/>
      <c r="D21" s="85"/>
      <c r="E21" s="179" t="s">
        <v>28</v>
      </c>
      <c r="F21" s="181">
        <v>0</v>
      </c>
      <c r="G21" s="182" t="s">
        <v>172</v>
      </c>
      <c r="H21" s="71"/>
      <c r="I21" s="85"/>
      <c r="J21" s="146" t="s">
        <v>28</v>
      </c>
      <c r="K21" s="184">
        <f t="shared" si="0"/>
        <v>0</v>
      </c>
    </row>
    <row r="22" spans="1:22" x14ac:dyDescent="0.2">
      <c r="A22" s="212" t="s">
        <v>165</v>
      </c>
      <c r="B22" s="211">
        <v>3.5000000000000003E-2</v>
      </c>
      <c r="C22" s="75"/>
      <c r="D22" s="85"/>
      <c r="E22" s="179" t="s">
        <v>18</v>
      </c>
      <c r="F22" s="181">
        <v>0</v>
      </c>
      <c r="G22" s="182" t="s">
        <v>172</v>
      </c>
      <c r="H22" s="71"/>
      <c r="I22" s="85"/>
      <c r="J22" s="146" t="s">
        <v>18</v>
      </c>
      <c r="K22" s="184">
        <f t="shared" si="0"/>
        <v>0</v>
      </c>
    </row>
    <row r="23" spans="1:22" x14ac:dyDescent="0.2">
      <c r="A23" s="212" t="s">
        <v>243</v>
      </c>
      <c r="B23" s="211">
        <v>0.04</v>
      </c>
      <c r="C23" s="177"/>
      <c r="D23" s="85"/>
      <c r="E23" s="179" t="s">
        <v>19</v>
      </c>
      <c r="F23" s="181">
        <v>1200</v>
      </c>
      <c r="G23" s="182" t="s">
        <v>37</v>
      </c>
      <c r="H23" s="71"/>
      <c r="I23" s="85"/>
      <c r="J23" s="146" t="s">
        <v>19</v>
      </c>
      <c r="K23" s="184">
        <f t="shared" si="0"/>
        <v>1200</v>
      </c>
    </row>
    <row r="24" spans="1:22" x14ac:dyDescent="0.2">
      <c r="C24" s="75"/>
      <c r="D24" s="85"/>
      <c r="E24" s="179" t="s">
        <v>20</v>
      </c>
      <c r="F24" s="181">
        <v>0</v>
      </c>
      <c r="G24" s="182" t="s">
        <v>172</v>
      </c>
      <c r="H24" s="71"/>
      <c r="I24" s="85"/>
      <c r="J24" s="146" t="s">
        <v>20</v>
      </c>
      <c r="K24" s="184">
        <f t="shared" si="0"/>
        <v>0</v>
      </c>
    </row>
    <row r="25" spans="1:22" x14ac:dyDescent="0.2">
      <c r="A25" s="144" t="s">
        <v>148</v>
      </c>
      <c r="B25" s="149"/>
      <c r="C25" s="75"/>
      <c r="D25" s="85"/>
      <c r="E25" s="179" t="s">
        <v>21</v>
      </c>
      <c r="F25" s="181">
        <v>0</v>
      </c>
      <c r="G25" s="182" t="s">
        <v>172</v>
      </c>
      <c r="H25" s="71"/>
      <c r="I25" s="85"/>
      <c r="J25" s="146" t="s">
        <v>21</v>
      </c>
      <c r="K25" s="184">
        <f t="shared" si="0"/>
        <v>0</v>
      </c>
    </row>
    <row r="26" spans="1:22" x14ac:dyDescent="0.2">
      <c r="A26" s="136" t="s">
        <v>140</v>
      </c>
      <c r="B26" s="150">
        <v>1</v>
      </c>
      <c r="C26" s="75"/>
      <c r="D26" s="85"/>
      <c r="E26" s="179" t="s">
        <v>22</v>
      </c>
      <c r="F26" s="181">
        <v>0</v>
      </c>
      <c r="G26" s="182" t="s">
        <v>172</v>
      </c>
      <c r="H26" s="71"/>
      <c r="I26" s="85"/>
      <c r="J26" s="146" t="s">
        <v>22</v>
      </c>
      <c r="K26" s="184">
        <f t="shared" si="0"/>
        <v>0</v>
      </c>
      <c r="V26" s="46">
        <v>0.5</v>
      </c>
    </row>
    <row r="27" spans="1:22" x14ac:dyDescent="0.2">
      <c r="A27" s="136" t="s">
        <v>141</v>
      </c>
      <c r="B27" s="151">
        <f>1-B26</f>
        <v>0</v>
      </c>
      <c r="C27" s="75"/>
      <c r="D27" s="85"/>
      <c r="E27" s="179" t="s">
        <v>23</v>
      </c>
      <c r="F27" s="181">
        <v>0</v>
      </c>
      <c r="G27" s="182" t="s">
        <v>172</v>
      </c>
      <c r="H27" s="71"/>
      <c r="I27" s="85"/>
      <c r="J27" s="146" t="s">
        <v>23</v>
      </c>
      <c r="K27" s="184">
        <f t="shared" si="0"/>
        <v>0</v>
      </c>
      <c r="V27" s="46">
        <v>1</v>
      </c>
    </row>
    <row r="28" spans="1:22" x14ac:dyDescent="0.2">
      <c r="A28" s="144" t="s">
        <v>50</v>
      </c>
      <c r="B28" s="151"/>
      <c r="C28" s="75"/>
      <c r="D28" s="85"/>
      <c r="E28" s="179" t="s">
        <v>24</v>
      </c>
      <c r="F28" s="181">
        <v>0</v>
      </c>
      <c r="G28" s="182" t="s">
        <v>172</v>
      </c>
      <c r="H28" s="71"/>
      <c r="I28" s="85"/>
      <c r="J28" s="146" t="s">
        <v>24</v>
      </c>
      <c r="K28" s="184">
        <f t="shared" si="0"/>
        <v>0</v>
      </c>
      <c r="V28" s="46">
        <v>2</v>
      </c>
    </row>
    <row r="29" spans="1:22" x14ac:dyDescent="0.2">
      <c r="A29" s="136" t="s">
        <v>146</v>
      </c>
      <c r="B29" s="378">
        <f>'Input Property 1'!B29</f>
        <v>123000</v>
      </c>
      <c r="C29" s="75"/>
      <c r="D29" s="85"/>
      <c r="E29" s="179" t="s">
        <v>25</v>
      </c>
      <c r="F29" s="181">
        <v>0</v>
      </c>
      <c r="G29" s="182" t="s">
        <v>215</v>
      </c>
      <c r="H29" s="71"/>
      <c r="I29" s="85"/>
      <c r="J29" s="146" t="s">
        <v>25</v>
      </c>
      <c r="K29" s="184">
        <f t="shared" si="0"/>
        <v>0</v>
      </c>
    </row>
    <row r="30" spans="1:22" x14ac:dyDescent="0.2">
      <c r="A30" s="136" t="s">
        <v>147</v>
      </c>
      <c r="B30" s="378">
        <f>'Input Property 1'!B30</f>
        <v>96000</v>
      </c>
      <c r="C30" s="75"/>
      <c r="D30" s="85"/>
      <c r="E30" s="179" t="s">
        <v>26</v>
      </c>
      <c r="F30" s="181">
        <v>11</v>
      </c>
      <c r="G30" s="182" t="s">
        <v>172</v>
      </c>
      <c r="H30" s="71"/>
      <c r="I30" s="85"/>
      <c r="J30" s="146" t="s">
        <v>26</v>
      </c>
      <c r="K30" s="184">
        <f t="shared" si="0"/>
        <v>574.75</v>
      </c>
    </row>
    <row r="31" spans="1:22" x14ac:dyDescent="0.2">
      <c r="A31" s="136" t="s">
        <v>242</v>
      </c>
      <c r="B31" s="239">
        <f>'Input Property 1'!B31</f>
        <v>0.02</v>
      </c>
      <c r="C31" s="75"/>
      <c r="D31" s="85"/>
      <c r="E31" s="179" t="s">
        <v>27</v>
      </c>
      <c r="F31" s="181">
        <v>0</v>
      </c>
      <c r="G31" s="182" t="s">
        <v>172</v>
      </c>
      <c r="H31" s="71"/>
      <c r="I31" s="85"/>
      <c r="J31" s="146" t="s">
        <v>27</v>
      </c>
      <c r="K31" s="184">
        <f t="shared" si="0"/>
        <v>0</v>
      </c>
    </row>
    <row r="32" spans="1:22" x14ac:dyDescent="0.2">
      <c r="A32" s="136" t="s">
        <v>30</v>
      </c>
      <c r="B32" s="148">
        <v>25080</v>
      </c>
      <c r="C32" s="75"/>
      <c r="D32" s="88"/>
      <c r="E32" s="180"/>
      <c r="F32" s="218"/>
      <c r="G32" s="219"/>
      <c r="H32" s="71"/>
      <c r="I32" s="88"/>
      <c r="J32" s="172"/>
      <c r="K32" s="185"/>
    </row>
    <row r="33" spans="1:17" x14ac:dyDescent="0.2">
      <c r="A33" s="174" t="s">
        <v>156</v>
      </c>
      <c r="B33" s="175">
        <f>B20+(100*365)</f>
        <v>77050</v>
      </c>
      <c r="C33" s="75"/>
      <c r="H33" s="71"/>
      <c r="K33" s="60"/>
    </row>
    <row r="34" spans="1:17" x14ac:dyDescent="0.2">
      <c r="A34" s="174" t="s">
        <v>223</v>
      </c>
      <c r="B34" s="187">
        <v>0.3</v>
      </c>
      <c r="C34" s="75"/>
      <c r="D34" s="60"/>
      <c r="E34" s="60"/>
      <c r="F34" s="60"/>
      <c r="G34" s="60"/>
      <c r="H34" s="71"/>
      <c r="K34" s="60"/>
    </row>
    <row r="35" spans="1:17" x14ac:dyDescent="0.2">
      <c r="A35" s="174" t="s">
        <v>224</v>
      </c>
      <c r="B35" s="192">
        <v>5000</v>
      </c>
      <c r="C35" s="75"/>
      <c r="D35" s="60"/>
      <c r="E35" s="60"/>
      <c r="F35" s="60"/>
      <c r="G35" s="60"/>
      <c r="H35" s="71"/>
      <c r="K35" s="60"/>
    </row>
    <row r="36" spans="1:17" x14ac:dyDescent="0.2">
      <c r="A36" s="212" t="s">
        <v>150</v>
      </c>
      <c r="B36" s="239">
        <f>'Input Property 1'!B36</f>
        <v>2.5000000000000001E-2</v>
      </c>
      <c r="D36" s="60"/>
      <c r="E36" s="60"/>
      <c r="F36" s="60"/>
      <c r="G36" s="60"/>
      <c r="K36" s="60"/>
    </row>
    <row r="37" spans="1:17" x14ac:dyDescent="0.2">
      <c r="A37" s="214"/>
      <c r="B37" s="247"/>
      <c r="C37" s="76"/>
      <c r="D37" s="82"/>
      <c r="E37" s="82"/>
      <c r="F37" s="82"/>
      <c r="G37" s="82"/>
      <c r="H37" s="76"/>
      <c r="I37" s="76"/>
      <c r="J37" s="76"/>
      <c r="K37" s="82"/>
      <c r="L37" s="76"/>
      <c r="M37" s="76"/>
      <c r="N37" s="76"/>
      <c r="O37" s="76"/>
      <c r="P37" s="76"/>
      <c r="Q37" s="76"/>
    </row>
    <row r="38" spans="1:17" x14ac:dyDescent="0.2">
      <c r="A38" s="214" t="s">
        <v>244</v>
      </c>
      <c r="B38" s="216">
        <v>1</v>
      </c>
      <c r="C38" s="76"/>
      <c r="D38" s="82"/>
      <c r="E38" s="82"/>
      <c r="F38" s="82"/>
      <c r="G38" s="82"/>
      <c r="H38" s="76"/>
      <c r="I38" s="76"/>
      <c r="J38" s="76"/>
      <c r="K38" s="82"/>
      <c r="L38" s="76"/>
      <c r="M38" s="76"/>
      <c r="N38" s="76"/>
      <c r="O38" s="76"/>
      <c r="P38" s="76"/>
      <c r="Q38" s="76"/>
    </row>
    <row r="39" spans="1:17" x14ac:dyDescent="0.2">
      <c r="A39" s="214" t="s">
        <v>220</v>
      </c>
      <c r="B39" s="215">
        <v>0.9</v>
      </c>
      <c r="C39" s="76"/>
      <c r="D39" s="82"/>
      <c r="E39" s="82"/>
      <c r="F39" s="82"/>
      <c r="G39" s="82"/>
      <c r="H39" s="76"/>
      <c r="I39" s="76"/>
      <c r="J39" s="76"/>
      <c r="K39" s="82"/>
      <c r="L39" s="76"/>
      <c r="M39" s="76"/>
      <c r="N39" s="76"/>
      <c r="O39" s="76"/>
      <c r="P39" s="76"/>
      <c r="Q39" s="76"/>
    </row>
    <row r="40" spans="1:17" x14ac:dyDescent="0.2">
      <c r="A40" s="214"/>
      <c r="B40" s="247"/>
      <c r="C40" s="76"/>
      <c r="D40" s="82"/>
      <c r="E40" s="82"/>
      <c r="F40" s="82"/>
      <c r="G40" s="82"/>
      <c r="H40" s="76"/>
      <c r="I40" s="76"/>
      <c r="J40" s="76"/>
      <c r="K40" s="82"/>
      <c r="L40" s="76"/>
      <c r="M40" s="76"/>
      <c r="N40" s="76"/>
      <c r="O40" s="76"/>
      <c r="P40" s="76"/>
      <c r="Q40" s="76"/>
    </row>
    <row r="41" spans="1:17" x14ac:dyDescent="0.2">
      <c r="A41" s="214"/>
      <c r="B41" s="247"/>
      <c r="C41" s="76"/>
      <c r="D41" s="82"/>
      <c r="E41" s="82"/>
      <c r="F41" s="82"/>
      <c r="G41" s="82"/>
      <c r="H41" s="76"/>
      <c r="I41" s="76"/>
      <c r="J41" s="76"/>
      <c r="K41" s="82"/>
      <c r="L41" s="76"/>
      <c r="M41" s="76"/>
      <c r="N41" s="76"/>
      <c r="O41" s="76"/>
      <c r="P41" s="76"/>
      <c r="Q41" s="76"/>
    </row>
    <row r="42" spans="1:17" x14ac:dyDescent="0.2">
      <c r="A42" s="214"/>
      <c r="B42" s="247"/>
      <c r="C42" s="76"/>
      <c r="D42" s="82"/>
      <c r="E42" s="82"/>
      <c r="F42" s="82"/>
      <c r="G42" s="82"/>
      <c r="H42" s="76"/>
      <c r="I42" s="76"/>
      <c r="J42" s="76"/>
      <c r="K42" s="82"/>
      <c r="L42" s="76"/>
      <c r="M42" s="76"/>
      <c r="N42" s="76"/>
      <c r="O42" s="76"/>
      <c r="P42" s="76"/>
      <c r="Q42" s="76"/>
    </row>
    <row r="43" spans="1:17" ht="13.5" thickBot="1" x14ac:dyDescent="0.25">
      <c r="A43" s="213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</row>
    <row r="44" spans="1:17" x14ac:dyDescent="0.2">
      <c r="A44" s="221"/>
      <c r="B44" s="222" t="s">
        <v>95</v>
      </c>
      <c r="C44" s="222" t="s">
        <v>96</v>
      </c>
      <c r="D44" s="222" t="s">
        <v>97</v>
      </c>
      <c r="E44" s="222" t="s">
        <v>98</v>
      </c>
      <c r="F44" s="222" t="s">
        <v>99</v>
      </c>
      <c r="G44" s="222" t="s">
        <v>100</v>
      </c>
      <c r="H44" s="222" t="s">
        <v>101</v>
      </c>
      <c r="I44" s="222" t="s">
        <v>102</v>
      </c>
      <c r="J44" s="222" t="s">
        <v>103</v>
      </c>
      <c r="K44" s="222" t="s">
        <v>104</v>
      </c>
      <c r="L44" s="222" t="s">
        <v>105</v>
      </c>
      <c r="M44" s="222" t="s">
        <v>106</v>
      </c>
      <c r="N44" s="222" t="s">
        <v>107</v>
      </c>
      <c r="O44" s="222" t="s">
        <v>108</v>
      </c>
      <c r="P44" s="223" t="s">
        <v>109</v>
      </c>
      <c r="Q44" s="71"/>
    </row>
    <row r="45" spans="1:17" x14ac:dyDescent="0.2">
      <c r="A45" s="224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225"/>
      <c r="Q45" s="71"/>
    </row>
    <row r="46" spans="1:17" x14ac:dyDescent="0.2">
      <c r="A46" s="224" t="s">
        <v>146</v>
      </c>
      <c r="B46" s="47">
        <f>B29</f>
        <v>123000</v>
      </c>
      <c r="C46" s="47">
        <f>B46*(1+B47)</f>
        <v>125460</v>
      </c>
      <c r="D46" s="47">
        <f t="shared" ref="D46:P46" si="1">C46*(1+C47)</f>
        <v>127969.2</v>
      </c>
      <c r="E46" s="47">
        <f t="shared" si="1"/>
        <v>130528.584</v>
      </c>
      <c r="F46" s="47">
        <f t="shared" si="1"/>
        <v>133139.15568</v>
      </c>
      <c r="G46" s="47">
        <f t="shared" si="1"/>
        <v>135801.93879360001</v>
      </c>
      <c r="H46" s="47">
        <f t="shared" si="1"/>
        <v>138517.97756947202</v>
      </c>
      <c r="I46" s="47">
        <f t="shared" si="1"/>
        <v>141288.33712086146</v>
      </c>
      <c r="J46" s="47">
        <f t="shared" si="1"/>
        <v>144114.10386327869</v>
      </c>
      <c r="K46" s="47">
        <f t="shared" si="1"/>
        <v>146996.38594054428</v>
      </c>
      <c r="L46" s="47">
        <f t="shared" si="1"/>
        <v>149936.31365935516</v>
      </c>
      <c r="M46" s="47">
        <f t="shared" si="1"/>
        <v>152935.03993254228</v>
      </c>
      <c r="N46" s="47">
        <f t="shared" si="1"/>
        <v>155993.74073119313</v>
      </c>
      <c r="O46" s="47">
        <f t="shared" si="1"/>
        <v>159113.61554581701</v>
      </c>
      <c r="P46" s="226">
        <f t="shared" si="1"/>
        <v>162295.88785673334</v>
      </c>
      <c r="Q46" s="71"/>
    </row>
    <row r="47" spans="1:17" x14ac:dyDescent="0.2">
      <c r="A47" s="224" t="s">
        <v>218</v>
      </c>
      <c r="B47" s="186">
        <f>$B$31</f>
        <v>0.02</v>
      </c>
      <c r="C47" s="186">
        <f t="shared" ref="C47:P47" si="2">$B$31</f>
        <v>0.02</v>
      </c>
      <c r="D47" s="186">
        <f t="shared" si="2"/>
        <v>0.02</v>
      </c>
      <c r="E47" s="186">
        <f t="shared" si="2"/>
        <v>0.02</v>
      </c>
      <c r="F47" s="186">
        <f t="shared" si="2"/>
        <v>0.02</v>
      </c>
      <c r="G47" s="186">
        <f t="shared" si="2"/>
        <v>0.02</v>
      </c>
      <c r="H47" s="186">
        <f t="shared" si="2"/>
        <v>0.02</v>
      </c>
      <c r="I47" s="186">
        <f t="shared" si="2"/>
        <v>0.02</v>
      </c>
      <c r="J47" s="186">
        <f t="shared" si="2"/>
        <v>0.02</v>
      </c>
      <c r="K47" s="186">
        <f t="shared" si="2"/>
        <v>0.02</v>
      </c>
      <c r="L47" s="186">
        <f t="shared" si="2"/>
        <v>0.02</v>
      </c>
      <c r="M47" s="186">
        <f t="shared" si="2"/>
        <v>0.02</v>
      </c>
      <c r="N47" s="186">
        <f t="shared" si="2"/>
        <v>0.02</v>
      </c>
      <c r="O47" s="186">
        <f t="shared" si="2"/>
        <v>0.02</v>
      </c>
      <c r="P47" s="227">
        <f t="shared" si="2"/>
        <v>0.02</v>
      </c>
      <c r="Q47" s="71"/>
    </row>
    <row r="48" spans="1:17" x14ac:dyDescent="0.2">
      <c r="A48" s="224" t="s">
        <v>147</v>
      </c>
      <c r="B48" s="47">
        <f>B30</f>
        <v>96000</v>
      </c>
      <c r="C48" s="47">
        <f>B48*(1+B49)</f>
        <v>97920</v>
      </c>
      <c r="D48" s="47">
        <f t="shared" ref="D48:P48" si="3">C48*(1+C49)</f>
        <v>99878.400000000009</v>
      </c>
      <c r="E48" s="47">
        <f t="shared" si="3"/>
        <v>101875.96800000001</v>
      </c>
      <c r="F48" s="47">
        <f t="shared" si="3"/>
        <v>103913.48736000001</v>
      </c>
      <c r="G48" s="47">
        <f t="shared" si="3"/>
        <v>105991.75710720001</v>
      </c>
      <c r="H48" s="47">
        <f t="shared" si="3"/>
        <v>108111.59224934402</v>
      </c>
      <c r="I48" s="47">
        <f t="shared" si="3"/>
        <v>110273.82409433089</v>
      </c>
      <c r="J48" s="47">
        <f t="shared" si="3"/>
        <v>112479.30057621752</v>
      </c>
      <c r="K48" s="47">
        <f t="shared" si="3"/>
        <v>114728.88658774187</v>
      </c>
      <c r="L48" s="47">
        <f t="shared" si="3"/>
        <v>117023.46431949671</v>
      </c>
      <c r="M48" s="47">
        <f t="shared" si="3"/>
        <v>119363.93360588665</v>
      </c>
      <c r="N48" s="47">
        <f t="shared" si="3"/>
        <v>121751.21227800439</v>
      </c>
      <c r="O48" s="47">
        <f t="shared" si="3"/>
        <v>124186.23652356448</v>
      </c>
      <c r="P48" s="226">
        <f t="shared" si="3"/>
        <v>126669.96125403578</v>
      </c>
      <c r="Q48" s="71"/>
    </row>
    <row r="49" spans="1:22" x14ac:dyDescent="0.2">
      <c r="A49" s="224" t="s">
        <v>218</v>
      </c>
      <c r="B49" s="186">
        <f>$B$31</f>
        <v>0.02</v>
      </c>
      <c r="C49" s="186">
        <f t="shared" ref="C49:P49" si="4">$B$31</f>
        <v>0.02</v>
      </c>
      <c r="D49" s="186">
        <f t="shared" si="4"/>
        <v>0.02</v>
      </c>
      <c r="E49" s="186">
        <f t="shared" si="4"/>
        <v>0.02</v>
      </c>
      <c r="F49" s="186">
        <f t="shared" si="4"/>
        <v>0.02</v>
      </c>
      <c r="G49" s="186">
        <f t="shared" si="4"/>
        <v>0.02</v>
      </c>
      <c r="H49" s="186">
        <f t="shared" si="4"/>
        <v>0.02</v>
      </c>
      <c r="I49" s="186">
        <f t="shared" si="4"/>
        <v>0.02</v>
      </c>
      <c r="J49" s="186">
        <f t="shared" si="4"/>
        <v>0.02</v>
      </c>
      <c r="K49" s="186">
        <f t="shared" si="4"/>
        <v>0.02</v>
      </c>
      <c r="L49" s="186">
        <f t="shared" si="4"/>
        <v>0.02</v>
      </c>
      <c r="M49" s="186">
        <f t="shared" si="4"/>
        <v>0.02</v>
      </c>
      <c r="N49" s="186">
        <f t="shared" si="4"/>
        <v>0.02</v>
      </c>
      <c r="O49" s="186">
        <f t="shared" si="4"/>
        <v>0.02</v>
      </c>
      <c r="P49" s="227">
        <f t="shared" si="4"/>
        <v>0.02</v>
      </c>
      <c r="Q49" s="71"/>
    </row>
    <row r="50" spans="1:22" x14ac:dyDescent="0.2">
      <c r="A50" s="224" t="s">
        <v>165</v>
      </c>
      <c r="B50" s="147">
        <f>$B$22</f>
        <v>3.5000000000000003E-2</v>
      </c>
      <c r="C50" s="147">
        <f t="shared" ref="C50:P50" si="5">$B$22</f>
        <v>3.5000000000000003E-2</v>
      </c>
      <c r="D50" s="147">
        <f t="shared" si="5"/>
        <v>3.5000000000000003E-2</v>
      </c>
      <c r="E50" s="147">
        <f t="shared" si="5"/>
        <v>3.5000000000000003E-2</v>
      </c>
      <c r="F50" s="147">
        <f t="shared" si="5"/>
        <v>3.5000000000000003E-2</v>
      </c>
      <c r="G50" s="147">
        <f t="shared" si="5"/>
        <v>3.5000000000000003E-2</v>
      </c>
      <c r="H50" s="147">
        <f t="shared" si="5"/>
        <v>3.5000000000000003E-2</v>
      </c>
      <c r="I50" s="147">
        <f t="shared" si="5"/>
        <v>3.5000000000000003E-2</v>
      </c>
      <c r="J50" s="147">
        <f t="shared" si="5"/>
        <v>3.5000000000000003E-2</v>
      </c>
      <c r="K50" s="147">
        <f t="shared" si="5"/>
        <v>3.5000000000000003E-2</v>
      </c>
      <c r="L50" s="147">
        <f t="shared" si="5"/>
        <v>3.5000000000000003E-2</v>
      </c>
      <c r="M50" s="147">
        <f t="shared" si="5"/>
        <v>3.5000000000000003E-2</v>
      </c>
      <c r="N50" s="147">
        <f t="shared" si="5"/>
        <v>3.5000000000000003E-2</v>
      </c>
      <c r="O50" s="147">
        <f t="shared" si="5"/>
        <v>3.5000000000000003E-2</v>
      </c>
      <c r="P50" s="228">
        <f t="shared" si="5"/>
        <v>3.5000000000000003E-2</v>
      </c>
      <c r="Q50" s="71"/>
    </row>
    <row r="51" spans="1:22" x14ac:dyDescent="0.2">
      <c r="A51" s="224" t="s">
        <v>150</v>
      </c>
      <c r="B51" s="239">
        <f>$B$36</f>
        <v>2.5000000000000001E-2</v>
      </c>
      <c r="C51" s="239">
        <f t="shared" ref="C51:P51" si="6">$B$36</f>
        <v>2.5000000000000001E-2</v>
      </c>
      <c r="D51" s="239">
        <f t="shared" si="6"/>
        <v>2.5000000000000001E-2</v>
      </c>
      <c r="E51" s="239">
        <f t="shared" si="6"/>
        <v>2.5000000000000001E-2</v>
      </c>
      <c r="F51" s="239">
        <f t="shared" si="6"/>
        <v>2.5000000000000001E-2</v>
      </c>
      <c r="G51" s="239">
        <f t="shared" si="6"/>
        <v>2.5000000000000001E-2</v>
      </c>
      <c r="H51" s="239">
        <f t="shared" si="6"/>
        <v>2.5000000000000001E-2</v>
      </c>
      <c r="I51" s="239">
        <f t="shared" si="6"/>
        <v>2.5000000000000001E-2</v>
      </c>
      <c r="J51" s="239">
        <f t="shared" si="6"/>
        <v>2.5000000000000001E-2</v>
      </c>
      <c r="K51" s="239">
        <f t="shared" si="6"/>
        <v>2.5000000000000001E-2</v>
      </c>
      <c r="L51" s="239">
        <f t="shared" si="6"/>
        <v>2.5000000000000001E-2</v>
      </c>
      <c r="M51" s="239">
        <f t="shared" si="6"/>
        <v>2.5000000000000001E-2</v>
      </c>
      <c r="N51" s="239">
        <f t="shared" si="6"/>
        <v>2.5000000000000001E-2</v>
      </c>
      <c r="O51" s="239">
        <f t="shared" si="6"/>
        <v>2.5000000000000001E-2</v>
      </c>
      <c r="P51" s="240">
        <f t="shared" si="6"/>
        <v>2.5000000000000001E-2</v>
      </c>
      <c r="Q51" s="71"/>
    </row>
    <row r="52" spans="1:22" s="66" customFormat="1" x14ac:dyDescent="0.2">
      <c r="A52" s="229" t="s">
        <v>151</v>
      </c>
      <c r="B52" s="241">
        <f>$B$23</f>
        <v>0.04</v>
      </c>
      <c r="C52" s="241">
        <f t="shared" ref="C52:V52" si="7">$B$23</f>
        <v>0.04</v>
      </c>
      <c r="D52" s="241">
        <f t="shared" si="7"/>
        <v>0.04</v>
      </c>
      <c r="E52" s="241">
        <f t="shared" si="7"/>
        <v>0.04</v>
      </c>
      <c r="F52" s="241">
        <f t="shared" si="7"/>
        <v>0.04</v>
      </c>
      <c r="G52" s="241">
        <f t="shared" si="7"/>
        <v>0.04</v>
      </c>
      <c r="H52" s="241">
        <f t="shared" si="7"/>
        <v>0.04</v>
      </c>
      <c r="I52" s="241">
        <f t="shared" si="7"/>
        <v>0.04</v>
      </c>
      <c r="J52" s="241">
        <f t="shared" si="7"/>
        <v>0.04</v>
      </c>
      <c r="K52" s="241">
        <f t="shared" si="7"/>
        <v>0.04</v>
      </c>
      <c r="L52" s="241">
        <f t="shared" si="7"/>
        <v>0.04</v>
      </c>
      <c r="M52" s="241">
        <f t="shared" si="7"/>
        <v>0.04</v>
      </c>
      <c r="N52" s="241">
        <f t="shared" si="7"/>
        <v>0.04</v>
      </c>
      <c r="O52" s="241">
        <f t="shared" si="7"/>
        <v>0.04</v>
      </c>
      <c r="P52" s="242">
        <f t="shared" si="7"/>
        <v>0.04</v>
      </c>
      <c r="Q52" s="220">
        <f t="shared" si="7"/>
        <v>0.04</v>
      </c>
      <c r="R52" s="154">
        <f t="shared" si="7"/>
        <v>0.04</v>
      </c>
      <c r="S52" s="154">
        <f t="shared" si="7"/>
        <v>0.04</v>
      </c>
      <c r="T52" s="154">
        <f t="shared" si="7"/>
        <v>0.04</v>
      </c>
      <c r="U52" s="154">
        <f t="shared" si="7"/>
        <v>0.04</v>
      </c>
      <c r="V52" s="154">
        <f t="shared" si="7"/>
        <v>0.04</v>
      </c>
    </row>
    <row r="53" spans="1:22" s="66" customFormat="1" x14ac:dyDescent="0.2">
      <c r="A53" s="229" t="s">
        <v>152</v>
      </c>
      <c r="B53" s="176">
        <f>(52-$B$7)*7</f>
        <v>14</v>
      </c>
      <c r="C53" s="176">
        <f t="shared" ref="C53:P53" si="8">(52-$B$7)*7</f>
        <v>14</v>
      </c>
      <c r="D53" s="176">
        <f t="shared" si="8"/>
        <v>14</v>
      </c>
      <c r="E53" s="176">
        <f t="shared" si="8"/>
        <v>14</v>
      </c>
      <c r="F53" s="176">
        <f t="shared" si="8"/>
        <v>14</v>
      </c>
      <c r="G53" s="176">
        <f t="shared" si="8"/>
        <v>14</v>
      </c>
      <c r="H53" s="176">
        <f t="shared" si="8"/>
        <v>14</v>
      </c>
      <c r="I53" s="176">
        <f t="shared" si="8"/>
        <v>14</v>
      </c>
      <c r="J53" s="176">
        <f t="shared" si="8"/>
        <v>14</v>
      </c>
      <c r="K53" s="176">
        <f t="shared" si="8"/>
        <v>14</v>
      </c>
      <c r="L53" s="176">
        <f t="shared" si="8"/>
        <v>14</v>
      </c>
      <c r="M53" s="176">
        <f t="shared" si="8"/>
        <v>14</v>
      </c>
      <c r="N53" s="176">
        <f t="shared" si="8"/>
        <v>14</v>
      </c>
      <c r="O53" s="176">
        <f t="shared" si="8"/>
        <v>14</v>
      </c>
      <c r="P53" s="230">
        <f t="shared" si="8"/>
        <v>14</v>
      </c>
      <c r="Q53" s="197">
        <v>14</v>
      </c>
      <c r="R53" s="176">
        <v>14</v>
      </c>
      <c r="S53" s="176">
        <v>14</v>
      </c>
      <c r="T53" s="176">
        <v>14</v>
      </c>
      <c r="U53" s="176">
        <v>14</v>
      </c>
      <c r="V53" s="176">
        <v>14</v>
      </c>
    </row>
    <row r="54" spans="1:22" s="66" customFormat="1" x14ac:dyDescent="0.2">
      <c r="A54" s="229" t="s">
        <v>214</v>
      </c>
      <c r="B54" s="243">
        <f>$B$38</f>
        <v>1</v>
      </c>
      <c r="C54" s="243">
        <f t="shared" ref="C54:P54" si="9">$B$38</f>
        <v>1</v>
      </c>
      <c r="D54" s="243">
        <f t="shared" si="9"/>
        <v>1</v>
      </c>
      <c r="E54" s="243">
        <f t="shared" si="9"/>
        <v>1</v>
      </c>
      <c r="F54" s="243">
        <f t="shared" si="9"/>
        <v>1</v>
      </c>
      <c r="G54" s="243">
        <f t="shared" si="9"/>
        <v>1</v>
      </c>
      <c r="H54" s="243">
        <f t="shared" si="9"/>
        <v>1</v>
      </c>
      <c r="I54" s="243">
        <f t="shared" si="9"/>
        <v>1</v>
      </c>
      <c r="J54" s="243">
        <f t="shared" si="9"/>
        <v>1</v>
      </c>
      <c r="K54" s="243">
        <f t="shared" si="9"/>
        <v>1</v>
      </c>
      <c r="L54" s="243">
        <f t="shared" si="9"/>
        <v>1</v>
      </c>
      <c r="M54" s="243">
        <f t="shared" si="9"/>
        <v>1</v>
      </c>
      <c r="N54" s="243">
        <f t="shared" si="9"/>
        <v>1</v>
      </c>
      <c r="O54" s="243">
        <f t="shared" si="9"/>
        <v>1</v>
      </c>
      <c r="P54" s="244">
        <f t="shared" si="9"/>
        <v>1</v>
      </c>
      <c r="Q54" s="173"/>
    </row>
    <row r="55" spans="1:22" x14ac:dyDescent="0.2">
      <c r="A55" s="224" t="s">
        <v>153</v>
      </c>
      <c r="B55" s="245">
        <f>B18</f>
        <v>0.05</v>
      </c>
      <c r="C55" s="245">
        <f>$B$55</f>
        <v>0.05</v>
      </c>
      <c r="D55" s="245">
        <f t="shared" ref="D55:O55" si="10">$B$55</f>
        <v>0.05</v>
      </c>
      <c r="E55" s="245">
        <f t="shared" si="10"/>
        <v>0.05</v>
      </c>
      <c r="F55" s="245">
        <f t="shared" si="10"/>
        <v>0.05</v>
      </c>
      <c r="G55" s="245">
        <f t="shared" si="10"/>
        <v>0.05</v>
      </c>
      <c r="H55" s="245">
        <f t="shared" si="10"/>
        <v>0.05</v>
      </c>
      <c r="I55" s="245">
        <f t="shared" si="10"/>
        <v>0.05</v>
      </c>
      <c r="J55" s="245">
        <f t="shared" si="10"/>
        <v>0.05</v>
      </c>
      <c r="K55" s="245">
        <f t="shared" si="10"/>
        <v>0.05</v>
      </c>
      <c r="L55" s="245">
        <f t="shared" si="10"/>
        <v>0.05</v>
      </c>
      <c r="M55" s="245">
        <f t="shared" si="10"/>
        <v>0.05</v>
      </c>
      <c r="N55" s="245">
        <f t="shared" si="10"/>
        <v>0.05</v>
      </c>
      <c r="O55" s="245">
        <f t="shared" si="10"/>
        <v>0.05</v>
      </c>
      <c r="P55" s="246">
        <f>$B$55</f>
        <v>0.05</v>
      </c>
      <c r="Q55" s="71"/>
    </row>
    <row r="56" spans="1:22" x14ac:dyDescent="0.2">
      <c r="A56" s="231" t="s">
        <v>220</v>
      </c>
      <c r="B56" s="153">
        <f>$B$39</f>
        <v>0.9</v>
      </c>
      <c r="C56" s="153">
        <f t="shared" ref="C56:P56" si="11">$B$39</f>
        <v>0.9</v>
      </c>
      <c r="D56" s="153">
        <f t="shared" si="11"/>
        <v>0.9</v>
      </c>
      <c r="E56" s="153">
        <f t="shared" si="11"/>
        <v>0.9</v>
      </c>
      <c r="F56" s="153">
        <f t="shared" si="11"/>
        <v>0.9</v>
      </c>
      <c r="G56" s="153">
        <f t="shared" si="11"/>
        <v>0.9</v>
      </c>
      <c r="H56" s="153">
        <f t="shared" si="11"/>
        <v>0.9</v>
      </c>
      <c r="I56" s="153">
        <f t="shared" si="11"/>
        <v>0.9</v>
      </c>
      <c r="J56" s="153">
        <f t="shared" si="11"/>
        <v>0.9</v>
      </c>
      <c r="K56" s="153">
        <f t="shared" si="11"/>
        <v>0.9</v>
      </c>
      <c r="L56" s="153">
        <f t="shared" si="11"/>
        <v>0.9</v>
      </c>
      <c r="M56" s="153">
        <f t="shared" si="11"/>
        <v>0.9</v>
      </c>
      <c r="N56" s="153">
        <f t="shared" si="11"/>
        <v>0.9</v>
      </c>
      <c r="O56" s="153">
        <f t="shared" si="11"/>
        <v>0.9</v>
      </c>
      <c r="P56" s="232">
        <f t="shared" si="11"/>
        <v>0.9</v>
      </c>
      <c r="Q56" s="71"/>
    </row>
    <row r="57" spans="1:22" x14ac:dyDescent="0.2">
      <c r="A57" s="224" t="s">
        <v>170</v>
      </c>
      <c r="B57" s="138" t="s">
        <v>169</v>
      </c>
      <c r="C57" s="138" t="s">
        <v>169</v>
      </c>
      <c r="D57" s="138" t="s">
        <v>169</v>
      </c>
      <c r="E57" s="138" t="s">
        <v>169</v>
      </c>
      <c r="F57" s="138" t="s">
        <v>169</v>
      </c>
      <c r="G57" s="138" t="s">
        <v>169</v>
      </c>
      <c r="H57" s="138" t="s">
        <v>169</v>
      </c>
      <c r="I57" s="138" t="s">
        <v>169</v>
      </c>
      <c r="J57" s="138" t="s">
        <v>169</v>
      </c>
      <c r="K57" s="138" t="s">
        <v>169</v>
      </c>
      <c r="L57" s="138" t="s">
        <v>169</v>
      </c>
      <c r="M57" s="138" t="s">
        <v>169</v>
      </c>
      <c r="N57" s="138" t="s">
        <v>169</v>
      </c>
      <c r="O57" s="138" t="s">
        <v>169</v>
      </c>
      <c r="P57" s="225" t="s">
        <v>169</v>
      </c>
      <c r="Q57" s="71"/>
    </row>
    <row r="58" spans="1:22" x14ac:dyDescent="0.2">
      <c r="A58" s="224" t="s">
        <v>173</v>
      </c>
      <c r="B58" s="147">
        <f>$K$17</f>
        <v>0.08</v>
      </c>
      <c r="C58" s="147">
        <f t="shared" ref="C58:P58" si="12">$K$17</f>
        <v>0.08</v>
      </c>
      <c r="D58" s="147">
        <f t="shared" si="12"/>
        <v>0.08</v>
      </c>
      <c r="E58" s="147">
        <f t="shared" si="12"/>
        <v>0.08</v>
      </c>
      <c r="F58" s="147">
        <f t="shared" si="12"/>
        <v>0.08</v>
      </c>
      <c r="G58" s="147">
        <f t="shared" si="12"/>
        <v>0.08</v>
      </c>
      <c r="H58" s="147">
        <f t="shared" si="12"/>
        <v>0.08</v>
      </c>
      <c r="I58" s="147">
        <f t="shared" si="12"/>
        <v>0.08</v>
      </c>
      <c r="J58" s="147">
        <f t="shared" si="12"/>
        <v>0.08</v>
      </c>
      <c r="K58" s="147">
        <f t="shared" si="12"/>
        <v>0.08</v>
      </c>
      <c r="L58" s="147">
        <f t="shared" si="12"/>
        <v>0.08</v>
      </c>
      <c r="M58" s="147">
        <f t="shared" si="12"/>
        <v>0.08</v>
      </c>
      <c r="N58" s="147">
        <f t="shared" si="12"/>
        <v>0.08</v>
      </c>
      <c r="O58" s="147">
        <f t="shared" si="12"/>
        <v>0.08</v>
      </c>
      <c r="P58" s="228">
        <f t="shared" si="12"/>
        <v>0.08</v>
      </c>
      <c r="Q58" s="71"/>
    </row>
    <row r="59" spans="1:22" x14ac:dyDescent="0.2">
      <c r="A59" s="224" t="s">
        <v>230</v>
      </c>
      <c r="B59" s="147">
        <v>0.03</v>
      </c>
      <c r="C59" s="193">
        <f>B59*(1+B51)</f>
        <v>3.0749999999999996E-2</v>
      </c>
      <c r="D59" s="193">
        <f t="shared" ref="D59:P59" si="13">C59*(1+C51)</f>
        <v>3.1518749999999991E-2</v>
      </c>
      <c r="E59" s="193">
        <f t="shared" si="13"/>
        <v>3.2306718749999991E-2</v>
      </c>
      <c r="F59" s="193">
        <f t="shared" si="13"/>
        <v>3.3114386718749986E-2</v>
      </c>
      <c r="G59" s="193">
        <f t="shared" si="13"/>
        <v>3.3942246386718736E-2</v>
      </c>
      <c r="H59" s="193">
        <f t="shared" si="13"/>
        <v>3.4790802546386702E-2</v>
      </c>
      <c r="I59" s="193">
        <f t="shared" si="13"/>
        <v>3.5660572610046369E-2</v>
      </c>
      <c r="J59" s="193">
        <f t="shared" si="13"/>
        <v>3.6552086925297524E-2</v>
      </c>
      <c r="K59" s="193">
        <f t="shared" si="13"/>
        <v>3.7465889098429961E-2</v>
      </c>
      <c r="L59" s="193">
        <f t="shared" si="13"/>
        <v>3.8402536325890704E-2</v>
      </c>
      <c r="M59" s="193">
        <f t="shared" si="13"/>
        <v>3.9362599734037967E-2</v>
      </c>
      <c r="N59" s="193">
        <f t="shared" si="13"/>
        <v>4.034666472738891E-2</v>
      </c>
      <c r="O59" s="193">
        <f t="shared" si="13"/>
        <v>4.1355331345573627E-2</v>
      </c>
      <c r="P59" s="233">
        <f t="shared" si="13"/>
        <v>4.2389214629212961E-2</v>
      </c>
      <c r="Q59" s="71"/>
    </row>
    <row r="60" spans="1:22" x14ac:dyDescent="0.2">
      <c r="A60" s="224" t="s">
        <v>238</v>
      </c>
      <c r="B60" s="47">
        <v>3000</v>
      </c>
      <c r="C60" s="47">
        <f>B60*(1+B51)</f>
        <v>3074.9999999999995</v>
      </c>
      <c r="D60" s="47">
        <f t="shared" ref="D60:P60" si="14">C60*(1+C51)</f>
        <v>3151.8749999999991</v>
      </c>
      <c r="E60" s="47">
        <f t="shared" si="14"/>
        <v>3230.6718749999986</v>
      </c>
      <c r="F60" s="47">
        <f t="shared" si="14"/>
        <v>3311.4386718749984</v>
      </c>
      <c r="G60" s="47">
        <f t="shared" si="14"/>
        <v>3394.224638671873</v>
      </c>
      <c r="H60" s="47">
        <f t="shared" si="14"/>
        <v>3479.0802546386694</v>
      </c>
      <c r="I60" s="47">
        <f t="shared" si="14"/>
        <v>3566.0572610046361</v>
      </c>
      <c r="J60" s="47">
        <f t="shared" si="14"/>
        <v>3655.2086925297517</v>
      </c>
      <c r="K60" s="47">
        <f t="shared" si="14"/>
        <v>3746.5889098429952</v>
      </c>
      <c r="L60" s="47">
        <f t="shared" si="14"/>
        <v>3840.2536325890696</v>
      </c>
      <c r="M60" s="47">
        <f t="shared" si="14"/>
        <v>3936.2599734037958</v>
      </c>
      <c r="N60" s="47">
        <f t="shared" si="14"/>
        <v>4034.6664727388902</v>
      </c>
      <c r="O60" s="47">
        <f t="shared" si="14"/>
        <v>4135.5331345573622</v>
      </c>
      <c r="P60" s="226">
        <f t="shared" si="14"/>
        <v>4238.9214629212956</v>
      </c>
      <c r="Q60" s="71"/>
    </row>
    <row r="61" spans="1:22" x14ac:dyDescent="0.2">
      <c r="A61" s="234" t="s">
        <v>211</v>
      </c>
      <c r="B61" s="191">
        <f>IF(('Data Property 5'!C161-$B$32)&gt;16400,0,$B$66+$B$67)</f>
        <v>0</v>
      </c>
      <c r="C61" s="191">
        <f>IF(('Data Property 5'!D161-$B$32)&gt;16400,0,$B$66+$B$67)</f>
        <v>0</v>
      </c>
      <c r="D61" s="191">
        <f>IF(('Data Property 5'!E161-$B$32)&gt;16400,0,$B$66+$B$67)</f>
        <v>0</v>
      </c>
      <c r="E61" s="191">
        <f>IF(('Data Property 5'!F161-$B$32)&gt;16400,0,$B$66+$B$67)</f>
        <v>0</v>
      </c>
      <c r="F61" s="191">
        <f>IF(('Data Property 5'!G161-$B$32)&gt;16400,0,$B$66+$B$67)</f>
        <v>0</v>
      </c>
      <c r="G61" s="191">
        <f>IF(('Data Property 5'!H161-$B$32)&gt;16400,0,$B$66+$B$67)</f>
        <v>0</v>
      </c>
      <c r="H61" s="191">
        <f>IF(('Data Property 5'!I161-$B$32)&gt;16400,0,$B$66+$B$67)</f>
        <v>0</v>
      </c>
      <c r="I61" s="191">
        <f>IF(('Data Property 5'!J161-$B$32)&gt;16400,0,$B$66+$B$67)</f>
        <v>0</v>
      </c>
      <c r="J61" s="191">
        <f>IF(('Data Property 5'!K161-$B$32)&gt;16400,0,$B$66+$B$67)</f>
        <v>0</v>
      </c>
      <c r="K61" s="191">
        <f>IF(('Data Property 5'!L161-$B$32)&gt;16400,0,$B$66+$B$67)</f>
        <v>0</v>
      </c>
      <c r="L61" s="191">
        <f>IF(('Data Property 5'!M161-$B$32)&gt;16400,0,$B$66+$B$67)</f>
        <v>0</v>
      </c>
      <c r="M61" s="191">
        <f>IF(('Data Property 5'!N161-$B$32)&gt;16400,0,$B$66+$B$67)</f>
        <v>0</v>
      </c>
      <c r="N61" s="191">
        <f>IF(('Data Property 5'!O161-$B$32)&gt;16400,0,$B$66+$B$67)</f>
        <v>0</v>
      </c>
      <c r="O61" s="191">
        <f>IF(('Data Property 5'!P161-$B$32)&gt;16400,0,$B$66+$B$67)</f>
        <v>0</v>
      </c>
      <c r="P61" s="235">
        <f>IF(('Data Property 5'!Q161-$B$32)&gt;16400,0,$B$66+$B$67)</f>
        <v>0</v>
      </c>
      <c r="Q61" s="71"/>
    </row>
    <row r="62" spans="1:22" x14ac:dyDescent="0.2">
      <c r="A62" s="234" t="s">
        <v>225</v>
      </c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235"/>
      <c r="Q62" s="71"/>
    </row>
    <row r="63" spans="1:22" ht="13.5" thickBot="1" x14ac:dyDescent="0.25">
      <c r="A63" s="236" t="s">
        <v>239</v>
      </c>
      <c r="B63" s="237">
        <v>50</v>
      </c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8"/>
      <c r="Q63" s="198"/>
    </row>
    <row r="64" spans="1:22" hidden="1" x14ac:dyDescent="0.2">
      <c r="A64" s="199" t="s">
        <v>123</v>
      </c>
      <c r="B64" s="60">
        <v>52.25</v>
      </c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</row>
    <row r="65" spans="2:2" hidden="1" x14ac:dyDescent="0.2"/>
    <row r="66" spans="2:2" hidden="1" x14ac:dyDescent="0.2">
      <c r="B66" s="46">
        <f>IF(B32&gt;'Tax Table'!F2,('Input Property 5'!B3*'Input Property 5'!B34)*0.025,0)</f>
        <v>0</v>
      </c>
    </row>
    <row r="67" spans="2:2" hidden="1" x14ac:dyDescent="0.2">
      <c r="B67" s="46">
        <f>IF('Input Property 5'!B32&gt;'Tax Table'!F1,IF('Input Property 5'!B32&lt;'Tax Table'!F2,('Input Property 5'!B3*'Input Property 5'!B34)*0.04),0)</f>
        <v>0</v>
      </c>
    </row>
  </sheetData>
  <mergeCells count="3">
    <mergeCell ref="E16:F16"/>
    <mergeCell ref="D17:E17"/>
    <mergeCell ref="I17:J17"/>
  </mergeCells>
  <dataValidations disablePrompts="1" count="3">
    <dataValidation type="list" allowBlank="1" showInputMessage="1" showErrorMessage="1" sqref="B2" xr:uid="{00000000-0002-0000-0800-000000000000}">
      <formula1>$Y$3:$Y$10</formula1>
    </dataValidation>
    <dataValidation type="list" showInputMessage="1" showErrorMessage="1" sqref="G32" xr:uid="{00000000-0002-0000-0800-000001000000}">
      <formula1>$Y$11:$Y$16</formula1>
    </dataValidation>
    <dataValidation type="list" showInputMessage="1" showErrorMessage="1" sqref="G18:G31" xr:uid="{00000000-0002-0000-0800-000002000000}">
      <formula1>$W$3:$W$7</formula1>
    </dataValidation>
  </dataValidations>
  <pageMargins left="0.75" right="0.75" top="1" bottom="1" header="0.5" footer="0.5"/>
  <pageSetup paperSize="9" scale="70" orientation="landscape" horizontalDpi="300" verticalDpi="300" r:id="rId1"/>
  <headerFooter alignWithMargins="0"/>
  <rowBreaks count="1" manualBreakCount="1">
    <brk id="63" max="16383" man="1"/>
  </rowBreaks>
  <colBreaks count="1" manualBreakCount="1">
    <brk id="16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Input Property 1</vt:lpstr>
      <vt:lpstr>Data Property 1</vt:lpstr>
      <vt:lpstr>Input Property 2</vt:lpstr>
      <vt:lpstr>Data Property 2</vt:lpstr>
      <vt:lpstr>Input Property 3</vt:lpstr>
      <vt:lpstr>Data Property 3</vt:lpstr>
      <vt:lpstr>Input Property 4</vt:lpstr>
      <vt:lpstr>Data Property 4</vt:lpstr>
      <vt:lpstr>Input Property 5</vt:lpstr>
      <vt:lpstr>Data Property 5</vt:lpstr>
      <vt:lpstr>Portfolio</vt:lpstr>
      <vt:lpstr>Tax Table</vt:lpstr>
      <vt:lpstr>Duties</vt:lpstr>
      <vt:lpstr>'Tax Table'!Content</vt:lpstr>
      <vt:lpstr>'Tax Table'!top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davidallen@iprimus.com.au</dc:subject>
  <dc:creator>David Allen;RM</dc:creator>
  <cp:lastModifiedBy>nur</cp:lastModifiedBy>
  <cp:lastPrinted>2007-03-20T12:18:49Z</cp:lastPrinted>
  <dcterms:created xsi:type="dcterms:W3CDTF">1998-11-03T05:53:26Z</dcterms:created>
  <dcterms:modified xsi:type="dcterms:W3CDTF">2020-06-09T11:06:35Z</dcterms:modified>
</cp:coreProperties>
</file>