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BuÇalışmaKitabı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"/>
    </mc:Choice>
  </mc:AlternateContent>
  <xr:revisionPtr revIDLastSave="0" documentId="13_ncr:1_{ACAF93F3-8B02-480E-9CEA-D60579E5C1F2}" xr6:coauthVersionLast="47" xr6:coauthVersionMax="47" xr10:uidLastSave="{00000000-0000-0000-0000-000000000000}"/>
  <bookViews>
    <workbookView xWindow="-120" yWindow="-120" windowWidth="20730" windowHeight="11160" activeTab="4" xr2:uid="{29181F51-8C2C-4C22-A1B0-1C4221A3B50D}"/>
  </bookViews>
  <sheets>
    <sheet name="ANA SAYFA" sheetId="15" r:id="rId1"/>
    <sheet name="2022MİZAN" sheetId="21" r:id="rId2"/>
    <sheet name="2023MİZAN" sheetId="22" r:id="rId3"/>
    <sheet name="CARİ DÖNEM MİZAN" sheetId="13" r:id="rId4"/>
    <sheet name="MİZAN ANALİZ" sheetId="6" r:id="rId5"/>
    <sheet name="MİZAN" sheetId="14" r:id="rId6"/>
    <sheet name="FİNANSAL VERİLER" sheetId="20" r:id="rId7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" i="20" l="1"/>
  <c r="B5" i="20"/>
  <c r="S10" i="20"/>
  <c r="B3" i="20"/>
  <c r="B68" i="20"/>
  <c r="I11" i="20"/>
  <c r="I10" i="20"/>
  <c r="I9" i="20"/>
  <c r="I6" i="20"/>
  <c r="B67" i="20"/>
  <c r="S5" i="20"/>
  <c r="B66" i="20"/>
  <c r="B43" i="20"/>
  <c r="B44" i="20"/>
  <c r="C251" i="6"/>
  <c r="D251" i="6"/>
  <c r="D254" i="6"/>
  <c r="D253" i="6"/>
  <c r="C254" i="6"/>
  <c r="C253" i="6"/>
  <c r="D11" i="6" l="1"/>
  <c r="D10" i="6"/>
  <c r="C11" i="6"/>
  <c r="C10" i="6"/>
  <c r="D97" i="6"/>
  <c r="D98" i="6"/>
  <c r="D99" i="6"/>
  <c r="D100" i="6"/>
  <c r="D96" i="6"/>
  <c r="C97" i="6"/>
  <c r="C98" i="6"/>
  <c r="C99" i="6"/>
  <c r="C100" i="6"/>
  <c r="C96" i="6"/>
  <c r="D165" i="6"/>
  <c r="C7" i="6"/>
  <c r="D148" i="6"/>
  <c r="C148" i="6"/>
  <c r="D142" i="6"/>
  <c r="D143" i="6"/>
  <c r="D144" i="6"/>
  <c r="D145" i="6"/>
  <c r="D146" i="6"/>
  <c r="D141" i="6"/>
  <c r="C142" i="6"/>
  <c r="C143" i="6"/>
  <c r="C144" i="6"/>
  <c r="C145" i="6"/>
  <c r="C146" i="6"/>
  <c r="C141" i="6"/>
  <c r="D134" i="6"/>
  <c r="D135" i="6"/>
  <c r="D136" i="6"/>
  <c r="D137" i="6"/>
  <c r="D138" i="6"/>
  <c r="D139" i="6"/>
  <c r="D133" i="6"/>
  <c r="C134" i="6"/>
  <c r="C135" i="6"/>
  <c r="C136" i="6"/>
  <c r="C137" i="6"/>
  <c r="C138" i="6"/>
  <c r="C139" i="6"/>
  <c r="C133" i="6"/>
  <c r="D157" i="6"/>
  <c r="D158" i="6"/>
  <c r="D156" i="6"/>
  <c r="C157" i="6"/>
  <c r="C158" i="6"/>
  <c r="C156" i="6"/>
  <c r="D153" i="6"/>
  <c r="D152" i="6" s="1"/>
  <c r="C153" i="6"/>
  <c r="C152" i="6" s="1"/>
  <c r="D229" i="6"/>
  <c r="C229" i="6"/>
  <c r="D113" i="6"/>
  <c r="D112" i="6" s="1"/>
  <c r="C113" i="6"/>
  <c r="C112" i="6" s="1"/>
  <c r="C48" i="6"/>
  <c r="C47" i="6"/>
  <c r="D48" i="6"/>
  <c r="D47" i="6"/>
  <c r="D44" i="6"/>
  <c r="D45" i="6"/>
  <c r="D43" i="6"/>
  <c r="C44" i="6"/>
  <c r="C45" i="6"/>
  <c r="C43" i="6"/>
  <c r="C8" i="6"/>
  <c r="D8" i="6"/>
  <c r="C9" i="6"/>
  <c r="D9" i="6"/>
  <c r="D7" i="6"/>
  <c r="C24" i="6"/>
  <c r="D24" i="6"/>
  <c r="C25" i="6"/>
  <c r="D25" i="6"/>
  <c r="C26" i="6"/>
  <c r="D26" i="6"/>
  <c r="C27" i="6"/>
  <c r="D27" i="6"/>
  <c r="C28" i="6"/>
  <c r="D28" i="6"/>
  <c r="C29" i="6"/>
  <c r="D29" i="6"/>
  <c r="C30" i="6"/>
  <c r="D30" i="6"/>
  <c r="C31" i="6"/>
  <c r="D31" i="6"/>
  <c r="D23" i="6"/>
  <c r="C23" i="6"/>
  <c r="C34" i="6"/>
  <c r="D34" i="6"/>
  <c r="C35" i="6"/>
  <c r="D35" i="6"/>
  <c r="C36" i="6"/>
  <c r="D36" i="6"/>
  <c r="C37" i="6"/>
  <c r="D37" i="6"/>
  <c r="C38" i="6"/>
  <c r="D38" i="6"/>
  <c r="C39" i="6"/>
  <c r="D39" i="6"/>
  <c r="C40" i="6"/>
  <c r="D40" i="6"/>
  <c r="C41" i="6"/>
  <c r="D41" i="6"/>
  <c r="D33" i="6"/>
  <c r="C33" i="6"/>
  <c r="C51" i="6"/>
  <c r="D51" i="6"/>
  <c r="C52" i="6"/>
  <c r="D52" i="6"/>
  <c r="C53" i="6"/>
  <c r="D53" i="6"/>
  <c r="C54" i="6"/>
  <c r="D54" i="6"/>
  <c r="C55" i="6"/>
  <c r="D55" i="6"/>
  <c r="C56" i="6"/>
  <c r="D56" i="6"/>
  <c r="C57" i="6"/>
  <c r="D57" i="6"/>
  <c r="C58" i="6"/>
  <c r="D58" i="6"/>
  <c r="D50" i="6"/>
  <c r="C50" i="6"/>
  <c r="C62" i="6"/>
  <c r="D62" i="6"/>
  <c r="C63" i="6"/>
  <c r="D63" i="6"/>
  <c r="C64" i="6"/>
  <c r="D64" i="6"/>
  <c r="C65" i="6"/>
  <c r="D65" i="6"/>
  <c r="C66" i="6"/>
  <c r="D66" i="6"/>
  <c r="C67" i="6"/>
  <c r="D67" i="6"/>
  <c r="C68" i="6"/>
  <c r="D68" i="6"/>
  <c r="C69" i="6"/>
  <c r="D69" i="6"/>
  <c r="C70" i="6"/>
  <c r="D70" i="6"/>
  <c r="D61" i="6"/>
  <c r="C61" i="6"/>
  <c r="C73" i="6"/>
  <c r="D73" i="6"/>
  <c r="C74" i="6"/>
  <c r="D74" i="6"/>
  <c r="C75" i="6"/>
  <c r="D75" i="6"/>
  <c r="C76" i="6"/>
  <c r="D76" i="6"/>
  <c r="C77" i="6"/>
  <c r="D77" i="6"/>
  <c r="C78" i="6"/>
  <c r="D78" i="6"/>
  <c r="C79" i="6"/>
  <c r="D79" i="6"/>
  <c r="C80" i="6"/>
  <c r="D80" i="6"/>
  <c r="D72" i="6"/>
  <c r="C72" i="6"/>
  <c r="C83" i="6"/>
  <c r="D83" i="6"/>
  <c r="D82" i="6"/>
  <c r="C82" i="6"/>
  <c r="B51" i="20"/>
  <c r="D250" i="6"/>
  <c r="C250" i="6"/>
  <c r="C248" i="6"/>
  <c r="D248" i="6"/>
  <c r="D247" i="6"/>
  <c r="C247" i="6"/>
  <c r="D245" i="6"/>
  <c r="C245" i="6"/>
  <c r="C243" i="6"/>
  <c r="D243" i="6"/>
  <c r="D242" i="6"/>
  <c r="C242" i="6"/>
  <c r="C240" i="6"/>
  <c r="D240" i="6"/>
  <c r="D239" i="6"/>
  <c r="C239" i="6"/>
  <c r="C237" i="6"/>
  <c r="D237" i="6"/>
  <c r="D236" i="6"/>
  <c r="C236" i="6"/>
  <c r="C234" i="6"/>
  <c r="D234" i="6"/>
  <c r="D233" i="6"/>
  <c r="C233" i="6"/>
  <c r="C227" i="6"/>
  <c r="D227" i="6"/>
  <c r="C228" i="6"/>
  <c r="D228" i="6"/>
  <c r="C230" i="6"/>
  <c r="D230" i="6"/>
  <c r="D226" i="6"/>
  <c r="C226" i="6"/>
  <c r="C223" i="6"/>
  <c r="D223" i="6"/>
  <c r="C224" i="6"/>
  <c r="D224" i="6"/>
  <c r="D222" i="6"/>
  <c r="C222" i="6"/>
  <c r="C220" i="6"/>
  <c r="D220" i="6"/>
  <c r="D219" i="6"/>
  <c r="C219" i="6"/>
  <c r="C217" i="6"/>
  <c r="D217" i="6"/>
  <c r="D216" i="6"/>
  <c r="C216" i="6"/>
  <c r="C210" i="6"/>
  <c r="D210" i="6"/>
  <c r="C211" i="6"/>
  <c r="D211" i="6"/>
  <c r="C212" i="6"/>
  <c r="D212" i="6"/>
  <c r="C213" i="6"/>
  <c r="D213" i="6"/>
  <c r="C214" i="6"/>
  <c r="D214" i="6"/>
  <c r="D209" i="6"/>
  <c r="C209" i="6"/>
  <c r="C199" i="6"/>
  <c r="D199" i="6"/>
  <c r="C200" i="6"/>
  <c r="D200" i="6"/>
  <c r="C201" i="6"/>
  <c r="D201" i="6"/>
  <c r="C202" i="6"/>
  <c r="D202" i="6"/>
  <c r="C203" i="6"/>
  <c r="D203" i="6"/>
  <c r="C204" i="6"/>
  <c r="D204" i="6"/>
  <c r="C205" i="6"/>
  <c r="D205" i="6"/>
  <c r="C206" i="6"/>
  <c r="D206" i="6"/>
  <c r="C207" i="6"/>
  <c r="D207" i="6"/>
  <c r="D198" i="6"/>
  <c r="C198" i="6"/>
  <c r="C195" i="6"/>
  <c r="D195" i="6"/>
  <c r="C196" i="6"/>
  <c r="D196" i="6"/>
  <c r="D194" i="6"/>
  <c r="C194" i="6"/>
  <c r="D190" i="6"/>
  <c r="D191" i="6"/>
  <c r="D192" i="6"/>
  <c r="C190" i="6"/>
  <c r="C191" i="6"/>
  <c r="C192" i="6"/>
  <c r="D189" i="6"/>
  <c r="C189" i="6"/>
  <c r="C186" i="6"/>
  <c r="D186" i="6"/>
  <c r="C187" i="6"/>
  <c r="D187" i="6"/>
  <c r="D185" i="6"/>
  <c r="C185" i="6"/>
  <c r="C182" i="6"/>
  <c r="D182" i="6"/>
  <c r="C183" i="6"/>
  <c r="D183" i="6"/>
  <c r="D181" i="6"/>
  <c r="C181" i="6"/>
  <c r="C178" i="6"/>
  <c r="D178" i="6"/>
  <c r="D177" i="6"/>
  <c r="C177" i="6"/>
  <c r="D175" i="6"/>
  <c r="C175" i="6"/>
  <c r="D173" i="6"/>
  <c r="C173" i="6"/>
  <c r="C168" i="6"/>
  <c r="D168" i="6"/>
  <c r="C169" i="6"/>
  <c r="D169" i="6"/>
  <c r="C170" i="6"/>
  <c r="D170" i="6"/>
  <c r="C171" i="6"/>
  <c r="D171" i="6"/>
  <c r="D167" i="6"/>
  <c r="C167" i="6"/>
  <c r="C161" i="6"/>
  <c r="D161" i="6"/>
  <c r="C162" i="6"/>
  <c r="D162" i="6"/>
  <c r="C163" i="6"/>
  <c r="D163" i="6"/>
  <c r="C164" i="6"/>
  <c r="D164" i="6"/>
  <c r="C165" i="6"/>
  <c r="D160" i="6"/>
  <c r="C160" i="6"/>
  <c r="C151" i="6"/>
  <c r="D151" i="6"/>
  <c r="D150" i="6"/>
  <c r="C150" i="6"/>
  <c r="C127" i="6"/>
  <c r="D127" i="6"/>
  <c r="C128" i="6"/>
  <c r="D128" i="6"/>
  <c r="C129" i="6"/>
  <c r="D129" i="6"/>
  <c r="C130" i="6"/>
  <c r="D130" i="6"/>
  <c r="D126" i="6"/>
  <c r="C126" i="6"/>
  <c r="C121" i="6"/>
  <c r="D121" i="6"/>
  <c r="C122" i="6"/>
  <c r="D122" i="6"/>
  <c r="C123" i="6"/>
  <c r="D123" i="6"/>
  <c r="C124" i="6"/>
  <c r="D124" i="6"/>
  <c r="D120" i="6"/>
  <c r="C120" i="6"/>
  <c r="C116" i="6"/>
  <c r="D116" i="6"/>
  <c r="C117" i="6"/>
  <c r="D117" i="6"/>
  <c r="C118" i="6"/>
  <c r="D118" i="6"/>
  <c r="D115" i="6"/>
  <c r="C115" i="6"/>
  <c r="C111" i="6"/>
  <c r="D111" i="6"/>
  <c r="D110" i="6"/>
  <c r="C110" i="6"/>
  <c r="D103" i="6"/>
  <c r="D104" i="6"/>
  <c r="D105" i="6"/>
  <c r="D106" i="6"/>
  <c r="D107" i="6"/>
  <c r="D108" i="6"/>
  <c r="D102" i="6"/>
  <c r="C103" i="6"/>
  <c r="C104" i="6"/>
  <c r="C105" i="6"/>
  <c r="C106" i="6"/>
  <c r="C107" i="6"/>
  <c r="C108" i="6"/>
  <c r="C102" i="6"/>
  <c r="D95" i="6"/>
  <c r="C95" i="6"/>
  <c r="D87" i="6"/>
  <c r="D88" i="6"/>
  <c r="D89" i="6"/>
  <c r="D90" i="6"/>
  <c r="D91" i="6"/>
  <c r="D92" i="6"/>
  <c r="D93" i="6"/>
  <c r="D86" i="6"/>
  <c r="C87" i="6"/>
  <c r="C88" i="6"/>
  <c r="C89" i="6"/>
  <c r="C90" i="6"/>
  <c r="C91" i="6"/>
  <c r="C92" i="6"/>
  <c r="C93" i="6"/>
  <c r="C86" i="6"/>
  <c r="D15" i="6"/>
  <c r="D16" i="6"/>
  <c r="D17" i="6"/>
  <c r="D18" i="6"/>
  <c r="D19" i="6"/>
  <c r="D20" i="6"/>
  <c r="D21" i="6"/>
  <c r="D14" i="6"/>
  <c r="C15" i="6"/>
  <c r="C16" i="6"/>
  <c r="C17" i="6"/>
  <c r="C18" i="6"/>
  <c r="C19" i="6"/>
  <c r="C20" i="6"/>
  <c r="C21" i="6"/>
  <c r="C14" i="6"/>
  <c r="E17" i="6" l="1"/>
  <c r="B48" i="20"/>
  <c r="B56" i="20"/>
  <c r="B50" i="20"/>
  <c r="B62" i="20" s="1"/>
  <c r="E21" i="6"/>
  <c r="E7" i="6"/>
  <c r="E148" i="6"/>
  <c r="E147" i="6" s="1"/>
  <c r="F148" i="6"/>
  <c r="F147" i="6" s="1"/>
  <c r="D147" i="6"/>
  <c r="F146" i="6"/>
  <c r="C147" i="6"/>
  <c r="D155" i="6"/>
  <c r="E229" i="6"/>
  <c r="F229" i="6"/>
  <c r="C225" i="6"/>
  <c r="D225" i="6"/>
  <c r="F158" i="6"/>
  <c r="E158" i="6"/>
  <c r="F111" i="6"/>
  <c r="C155" i="6"/>
  <c r="F151" i="6"/>
  <c r="F153" i="6"/>
  <c r="F152" i="6" s="1"/>
  <c r="E153" i="6"/>
  <c r="E152" i="6" s="1"/>
  <c r="F44" i="6"/>
  <c r="E113" i="6"/>
  <c r="E112" i="6" s="1"/>
  <c r="E48" i="6"/>
  <c r="F113" i="6"/>
  <c r="F112" i="6" s="1"/>
  <c r="F43" i="6"/>
  <c r="E44" i="6"/>
  <c r="D42" i="6"/>
  <c r="C46" i="6"/>
  <c r="F47" i="6"/>
  <c r="F48" i="6"/>
  <c r="E47" i="6"/>
  <c r="D46" i="6"/>
  <c r="F45" i="6"/>
  <c r="E43" i="6"/>
  <c r="E45" i="6"/>
  <c r="C42" i="6"/>
  <c r="E20" i="6"/>
  <c r="E19" i="6"/>
  <c r="E18" i="6"/>
  <c r="E15" i="6"/>
  <c r="E16" i="6"/>
  <c r="F234" i="6"/>
  <c r="F233" i="6"/>
  <c r="E234" i="6"/>
  <c r="D172" i="6"/>
  <c r="F116" i="6"/>
  <c r="C94" i="6"/>
  <c r="D94" i="6"/>
  <c r="F42" i="6" l="1"/>
  <c r="E42" i="6" s="1"/>
  <c r="F46" i="6"/>
  <c r="E46" i="6" s="1"/>
  <c r="E8" i="6"/>
  <c r="E9" i="6"/>
  <c r="D32" i="6"/>
  <c r="B55" i="20" s="1"/>
  <c r="C101" i="6"/>
  <c r="E206" i="6"/>
  <c r="F206" i="6"/>
  <c r="E41" i="6"/>
  <c r="F254" i="6"/>
  <c r="E254" i="6"/>
  <c r="F253" i="6"/>
  <c r="E253" i="6"/>
  <c r="D252" i="6"/>
  <c r="C252" i="6"/>
  <c r="F251" i="6"/>
  <c r="E251" i="6"/>
  <c r="F250" i="6"/>
  <c r="E250" i="6"/>
  <c r="D249" i="6"/>
  <c r="C249" i="6"/>
  <c r="F248" i="6"/>
  <c r="E248" i="6"/>
  <c r="F247" i="6"/>
  <c r="E247" i="6"/>
  <c r="D246" i="6"/>
  <c r="C246" i="6"/>
  <c r="F245" i="6"/>
  <c r="F244" i="6" s="1"/>
  <c r="E245" i="6"/>
  <c r="E244" i="6" s="1"/>
  <c r="D244" i="6"/>
  <c r="C244" i="6"/>
  <c r="F243" i="6"/>
  <c r="E243" i="6"/>
  <c r="F242" i="6"/>
  <c r="E242" i="6"/>
  <c r="D241" i="6"/>
  <c r="C241" i="6"/>
  <c r="F240" i="6"/>
  <c r="E240" i="6"/>
  <c r="F239" i="6"/>
  <c r="E239" i="6"/>
  <c r="D238" i="6"/>
  <c r="C238" i="6"/>
  <c r="F237" i="6"/>
  <c r="E237" i="6"/>
  <c r="F236" i="6"/>
  <c r="E236" i="6"/>
  <c r="D235" i="6"/>
  <c r="C235" i="6"/>
  <c r="E233" i="6"/>
  <c r="D232" i="6"/>
  <c r="C232" i="6"/>
  <c r="F230" i="6"/>
  <c r="E230" i="6"/>
  <c r="F228" i="6"/>
  <c r="E228" i="6"/>
  <c r="F227" i="6"/>
  <c r="E227" i="6"/>
  <c r="F226" i="6"/>
  <c r="E226" i="6"/>
  <c r="F224" i="6"/>
  <c r="E224" i="6"/>
  <c r="F223" i="6"/>
  <c r="E223" i="6"/>
  <c r="F222" i="6"/>
  <c r="E222" i="6"/>
  <c r="D221" i="6"/>
  <c r="C221" i="6"/>
  <c r="F220" i="6"/>
  <c r="E220" i="6"/>
  <c r="F219" i="6"/>
  <c r="E219" i="6"/>
  <c r="D218" i="6"/>
  <c r="C218" i="6"/>
  <c r="F217" i="6"/>
  <c r="E217" i="6"/>
  <c r="F216" i="6"/>
  <c r="E216" i="6"/>
  <c r="D215" i="6"/>
  <c r="C215" i="6"/>
  <c r="F214" i="6"/>
  <c r="E214" i="6"/>
  <c r="F213" i="6"/>
  <c r="E213" i="6"/>
  <c r="F212" i="6"/>
  <c r="E212" i="6"/>
  <c r="F211" i="6"/>
  <c r="E211" i="6"/>
  <c r="F210" i="6"/>
  <c r="E210" i="6"/>
  <c r="F209" i="6"/>
  <c r="E209" i="6"/>
  <c r="D208" i="6"/>
  <c r="C208" i="6"/>
  <c r="F207" i="6"/>
  <c r="E207" i="6"/>
  <c r="F205" i="6"/>
  <c r="E205" i="6"/>
  <c r="F204" i="6"/>
  <c r="E204" i="6"/>
  <c r="F203" i="6"/>
  <c r="E203" i="6"/>
  <c r="F202" i="6"/>
  <c r="E202" i="6"/>
  <c r="F201" i="6"/>
  <c r="E201" i="6"/>
  <c r="F200" i="6"/>
  <c r="E200" i="6"/>
  <c r="F199" i="6"/>
  <c r="E199" i="6"/>
  <c r="F198" i="6"/>
  <c r="E198" i="6"/>
  <c r="D197" i="6"/>
  <c r="C197" i="6"/>
  <c r="F196" i="6"/>
  <c r="E196" i="6"/>
  <c r="F195" i="6"/>
  <c r="E195" i="6"/>
  <c r="F194" i="6"/>
  <c r="E194" i="6"/>
  <c r="D193" i="6"/>
  <c r="C193" i="6"/>
  <c r="F192" i="6"/>
  <c r="E192" i="6"/>
  <c r="F191" i="6"/>
  <c r="E191" i="6"/>
  <c r="F190" i="6"/>
  <c r="E190" i="6"/>
  <c r="F189" i="6"/>
  <c r="E189" i="6"/>
  <c r="D188" i="6"/>
  <c r="B49" i="20" s="1"/>
  <c r="C188" i="6"/>
  <c r="F187" i="6"/>
  <c r="E187" i="6"/>
  <c r="F186" i="6"/>
  <c r="E186" i="6"/>
  <c r="F185" i="6"/>
  <c r="E185" i="6"/>
  <c r="D184" i="6"/>
  <c r="C184" i="6"/>
  <c r="F183" i="6"/>
  <c r="E183" i="6"/>
  <c r="F182" i="6"/>
  <c r="E182" i="6"/>
  <c r="F181" i="6"/>
  <c r="E181" i="6"/>
  <c r="D180" i="6"/>
  <c r="C180" i="6"/>
  <c r="F178" i="6"/>
  <c r="E178" i="6"/>
  <c r="F177" i="6"/>
  <c r="E177" i="6"/>
  <c r="D176" i="6"/>
  <c r="C176" i="6"/>
  <c r="F175" i="6"/>
  <c r="F174" i="6" s="1"/>
  <c r="E175" i="6"/>
  <c r="E174" i="6" s="1"/>
  <c r="D174" i="6"/>
  <c r="C174" i="6"/>
  <c r="F173" i="6"/>
  <c r="F172" i="6" s="1"/>
  <c r="B58" i="20" s="1"/>
  <c r="S9" i="20" s="1"/>
  <c r="E173" i="6"/>
  <c r="E172" i="6" s="1"/>
  <c r="C172" i="6"/>
  <c r="F171" i="6"/>
  <c r="E171" i="6"/>
  <c r="F170" i="6"/>
  <c r="E170" i="6"/>
  <c r="F169" i="6"/>
  <c r="E169" i="6"/>
  <c r="F168" i="6"/>
  <c r="E168" i="6"/>
  <c r="F167" i="6"/>
  <c r="E167" i="6"/>
  <c r="D166" i="6"/>
  <c r="C166" i="6"/>
  <c r="F165" i="6"/>
  <c r="E165" i="6"/>
  <c r="F164" i="6"/>
  <c r="E164" i="6"/>
  <c r="F163" i="6"/>
  <c r="E163" i="6"/>
  <c r="F162" i="6"/>
  <c r="E162" i="6"/>
  <c r="F161" i="6"/>
  <c r="E161" i="6"/>
  <c r="F160" i="6"/>
  <c r="E160" i="6"/>
  <c r="D159" i="6"/>
  <c r="C159" i="6"/>
  <c r="F157" i="6"/>
  <c r="E157" i="6"/>
  <c r="F156" i="6"/>
  <c r="B47" i="20" s="1"/>
  <c r="E156" i="6"/>
  <c r="E151" i="6"/>
  <c r="F150" i="6"/>
  <c r="E150" i="6"/>
  <c r="D149" i="6"/>
  <c r="C149" i="6"/>
  <c r="E146" i="6"/>
  <c r="F145" i="6"/>
  <c r="E145" i="6"/>
  <c r="F144" i="6"/>
  <c r="E144" i="6"/>
  <c r="F143" i="6"/>
  <c r="E143" i="6"/>
  <c r="F142" i="6"/>
  <c r="E142" i="6"/>
  <c r="F141" i="6"/>
  <c r="E141" i="6"/>
  <c r="D140" i="6"/>
  <c r="C140" i="6"/>
  <c r="F139" i="6"/>
  <c r="E139" i="6"/>
  <c r="F138" i="6"/>
  <c r="E138" i="6"/>
  <c r="F137" i="6"/>
  <c r="E137" i="6"/>
  <c r="F136" i="6"/>
  <c r="E136" i="6"/>
  <c r="F135" i="6"/>
  <c r="E135" i="6"/>
  <c r="F134" i="6"/>
  <c r="E134" i="6"/>
  <c r="F133" i="6"/>
  <c r="E133" i="6"/>
  <c r="D132" i="6"/>
  <c r="C132" i="6"/>
  <c r="F130" i="6"/>
  <c r="E130" i="6"/>
  <c r="F129" i="6"/>
  <c r="E129" i="6"/>
  <c r="F128" i="6"/>
  <c r="E128" i="6"/>
  <c r="F127" i="6"/>
  <c r="E127" i="6"/>
  <c r="F126" i="6"/>
  <c r="E126" i="6"/>
  <c r="D125" i="6"/>
  <c r="C125" i="6"/>
  <c r="F124" i="6"/>
  <c r="E124" i="6"/>
  <c r="F123" i="6"/>
  <c r="E123" i="6"/>
  <c r="F122" i="6"/>
  <c r="E122" i="6"/>
  <c r="F121" i="6"/>
  <c r="E121" i="6"/>
  <c r="F120" i="6"/>
  <c r="E120" i="6"/>
  <c r="D119" i="6"/>
  <c r="C119" i="6"/>
  <c r="F118" i="6"/>
  <c r="E118" i="6"/>
  <c r="F117" i="6"/>
  <c r="E117" i="6"/>
  <c r="E116" i="6"/>
  <c r="F115" i="6"/>
  <c r="E115" i="6"/>
  <c r="D114" i="6"/>
  <c r="C114" i="6"/>
  <c r="E111" i="6"/>
  <c r="F110" i="6"/>
  <c r="E110" i="6"/>
  <c r="D109" i="6"/>
  <c r="C109" i="6"/>
  <c r="F108" i="6"/>
  <c r="E108" i="6"/>
  <c r="F107" i="6"/>
  <c r="E107" i="6"/>
  <c r="F106" i="6"/>
  <c r="E106" i="6"/>
  <c r="F105" i="6"/>
  <c r="E105" i="6"/>
  <c r="F104" i="6"/>
  <c r="E104" i="6"/>
  <c r="F103" i="6"/>
  <c r="E103" i="6"/>
  <c r="F102" i="6"/>
  <c r="E102" i="6"/>
  <c r="D101" i="6"/>
  <c r="F100" i="6"/>
  <c r="E100" i="6"/>
  <c r="F99" i="6"/>
  <c r="E99" i="6"/>
  <c r="F98" i="6"/>
  <c r="E98" i="6"/>
  <c r="F97" i="6"/>
  <c r="E97" i="6"/>
  <c r="F96" i="6"/>
  <c r="E96" i="6"/>
  <c r="F95" i="6"/>
  <c r="E95" i="6"/>
  <c r="F93" i="6"/>
  <c r="E93" i="6"/>
  <c r="F92" i="6"/>
  <c r="E92" i="6"/>
  <c r="F91" i="6"/>
  <c r="E91" i="6"/>
  <c r="F90" i="6"/>
  <c r="E90" i="6"/>
  <c r="F89" i="6"/>
  <c r="E89" i="6"/>
  <c r="F88" i="6"/>
  <c r="E88" i="6"/>
  <c r="F87" i="6"/>
  <c r="E87" i="6"/>
  <c r="F86" i="6"/>
  <c r="E86" i="6"/>
  <c r="D85" i="6"/>
  <c r="C85" i="6"/>
  <c r="F83" i="6"/>
  <c r="E83" i="6"/>
  <c r="F82" i="6"/>
  <c r="E82" i="6"/>
  <c r="D81" i="6"/>
  <c r="C81" i="6"/>
  <c r="F80" i="6"/>
  <c r="E80" i="6"/>
  <c r="F79" i="6"/>
  <c r="E79" i="6"/>
  <c r="F78" i="6"/>
  <c r="E78" i="6"/>
  <c r="F77" i="6"/>
  <c r="E77" i="6"/>
  <c r="F76" i="6"/>
  <c r="E76" i="6"/>
  <c r="F75" i="6"/>
  <c r="E75" i="6"/>
  <c r="F74" i="6"/>
  <c r="E74" i="6"/>
  <c r="F73" i="6"/>
  <c r="E73" i="6"/>
  <c r="F72" i="6"/>
  <c r="E72" i="6"/>
  <c r="D71" i="6"/>
  <c r="C71" i="6"/>
  <c r="F70" i="6"/>
  <c r="E70" i="6"/>
  <c r="F69" i="6"/>
  <c r="E69" i="6"/>
  <c r="F68" i="6"/>
  <c r="E68" i="6"/>
  <c r="F67" i="6"/>
  <c r="E67" i="6"/>
  <c r="F66" i="6"/>
  <c r="E66" i="6"/>
  <c r="F65" i="6"/>
  <c r="E65" i="6"/>
  <c r="F64" i="6"/>
  <c r="E64" i="6"/>
  <c r="F63" i="6"/>
  <c r="E63" i="6"/>
  <c r="F62" i="6"/>
  <c r="E62" i="6"/>
  <c r="F61" i="6"/>
  <c r="E61" i="6"/>
  <c r="D60" i="6"/>
  <c r="C60" i="6"/>
  <c r="F58" i="6"/>
  <c r="E58" i="6"/>
  <c r="F57" i="6"/>
  <c r="E57" i="6"/>
  <c r="F56" i="6"/>
  <c r="E56" i="6"/>
  <c r="F55" i="6"/>
  <c r="E55" i="6"/>
  <c r="F54" i="6"/>
  <c r="E54" i="6"/>
  <c r="F53" i="6"/>
  <c r="E53" i="6"/>
  <c r="F52" i="6"/>
  <c r="E52" i="6"/>
  <c r="F51" i="6"/>
  <c r="E51" i="6"/>
  <c r="F50" i="6"/>
  <c r="E50" i="6"/>
  <c r="D49" i="6"/>
  <c r="C49" i="6"/>
  <c r="F41" i="6"/>
  <c r="F40" i="6"/>
  <c r="E40" i="6"/>
  <c r="F39" i="6"/>
  <c r="E39" i="6"/>
  <c r="F38" i="6"/>
  <c r="E38" i="6"/>
  <c r="F37" i="6"/>
  <c r="E37" i="6"/>
  <c r="F36" i="6"/>
  <c r="E36" i="6"/>
  <c r="F35" i="6"/>
  <c r="E35" i="6"/>
  <c r="F34" i="6"/>
  <c r="E34" i="6"/>
  <c r="F33" i="6"/>
  <c r="E33" i="6"/>
  <c r="C32" i="6"/>
  <c r="F31" i="6"/>
  <c r="E31" i="6"/>
  <c r="F30" i="6"/>
  <c r="E30" i="6"/>
  <c r="F29" i="6"/>
  <c r="E29" i="6"/>
  <c r="F28" i="6"/>
  <c r="E28" i="6"/>
  <c r="F27" i="6"/>
  <c r="E27" i="6"/>
  <c r="F26" i="6"/>
  <c r="E26" i="6"/>
  <c r="F25" i="6"/>
  <c r="E25" i="6"/>
  <c r="F24" i="6"/>
  <c r="E24" i="6"/>
  <c r="F23" i="6"/>
  <c r="E23" i="6"/>
  <c r="D22" i="6"/>
  <c r="C22" i="6"/>
  <c r="F21" i="6"/>
  <c r="F20" i="6"/>
  <c r="F19" i="6"/>
  <c r="F18" i="6"/>
  <c r="F17" i="6"/>
  <c r="F16" i="6"/>
  <c r="F15" i="6"/>
  <c r="F14" i="6"/>
  <c r="E14" i="6"/>
  <c r="D13" i="6"/>
  <c r="C13" i="6"/>
  <c r="F11" i="6"/>
  <c r="E11" i="6"/>
  <c r="F10" i="6"/>
  <c r="E10" i="6"/>
  <c r="F9" i="6"/>
  <c r="F8" i="6"/>
  <c r="F7" i="6"/>
  <c r="D6" i="6"/>
  <c r="C6" i="6"/>
  <c r="B65" i="20" l="1"/>
  <c r="B64" i="20"/>
  <c r="B61" i="20"/>
  <c r="B46" i="20"/>
  <c r="I12" i="20"/>
  <c r="I13" i="20" s="1"/>
  <c r="S4" i="20" s="1"/>
  <c r="B57" i="20"/>
  <c r="S6" i="20"/>
  <c r="C59" i="6"/>
  <c r="D131" i="6"/>
  <c r="E49" i="6"/>
  <c r="C131" i="6"/>
  <c r="C154" i="6"/>
  <c r="F225" i="6"/>
  <c r="E225" i="6"/>
  <c r="E155" i="6"/>
  <c r="F155" i="6"/>
  <c r="D154" i="6"/>
  <c r="C84" i="6"/>
  <c r="D84" i="6"/>
  <c r="E6" i="6"/>
  <c r="B38" i="20" s="1"/>
  <c r="C5" i="6"/>
  <c r="F13" i="6"/>
  <c r="E13" i="6" s="1"/>
  <c r="B52" i="20" s="1"/>
  <c r="D5" i="6"/>
  <c r="F6" i="6"/>
  <c r="F238" i="6"/>
  <c r="F166" i="6"/>
  <c r="B45" i="20" s="1"/>
  <c r="E166" i="6"/>
  <c r="F235" i="6"/>
  <c r="F140" i="6"/>
  <c r="E149" i="6"/>
  <c r="E184" i="6"/>
  <c r="F184" i="6"/>
  <c r="E215" i="6"/>
  <c r="E176" i="6"/>
  <c r="E221" i="6"/>
  <c r="F180" i="6"/>
  <c r="F159" i="6"/>
  <c r="F218" i="6"/>
  <c r="D59" i="6"/>
  <c r="F81" i="6"/>
  <c r="F114" i="6"/>
  <c r="F71" i="6"/>
  <c r="E71" i="6"/>
  <c r="F252" i="6"/>
  <c r="E119" i="6"/>
  <c r="F119" i="6" s="1"/>
  <c r="F125" i="6"/>
  <c r="F149" i="6"/>
  <c r="E81" i="6"/>
  <c r="F132" i="6"/>
  <c r="E140" i="6"/>
  <c r="F221" i="6"/>
  <c r="E252" i="6"/>
  <c r="F22" i="6"/>
  <c r="F85" i="6"/>
  <c r="I5" i="20" s="1"/>
  <c r="E208" i="6"/>
  <c r="E22" i="6"/>
  <c r="F60" i="6"/>
  <c r="E60" i="6" s="1"/>
  <c r="E109" i="6"/>
  <c r="E114" i="6"/>
  <c r="E132" i="6"/>
  <c r="F197" i="6"/>
  <c r="E218" i="6"/>
  <c r="F232" i="6"/>
  <c r="F241" i="6"/>
  <c r="F101" i="6"/>
  <c r="F109" i="6"/>
  <c r="E125" i="6"/>
  <c r="F176" i="6"/>
  <c r="E188" i="6"/>
  <c r="F215" i="6"/>
  <c r="E238" i="6"/>
  <c r="F249" i="6"/>
  <c r="E235" i="6"/>
  <c r="D231" i="6"/>
  <c r="E249" i="6"/>
  <c r="C231" i="6"/>
  <c r="E246" i="6"/>
  <c r="F246" i="6"/>
  <c r="E241" i="6"/>
  <c r="F208" i="6"/>
  <c r="D179" i="6"/>
  <c r="E197" i="6"/>
  <c r="F193" i="6"/>
  <c r="E193" i="6"/>
  <c r="C179" i="6"/>
  <c r="F188" i="6"/>
  <c r="E180" i="6"/>
  <c r="E159" i="6"/>
  <c r="E101" i="6"/>
  <c r="E94" i="6"/>
  <c r="F94" i="6"/>
  <c r="E85" i="6"/>
  <c r="F49" i="6"/>
  <c r="F32" i="6"/>
  <c r="E32" i="6" s="1"/>
  <c r="E232" i="6"/>
  <c r="B53" i="20" l="1"/>
  <c r="B39" i="20"/>
  <c r="D255" i="6"/>
  <c r="C255" i="6"/>
  <c r="E59" i="6"/>
  <c r="F131" i="6"/>
  <c r="E131" i="6"/>
  <c r="E154" i="6"/>
  <c r="F154" i="6" s="1"/>
  <c r="F84" i="6"/>
  <c r="E84" i="6"/>
  <c r="F231" i="6"/>
  <c r="F59" i="6"/>
  <c r="F179" i="6"/>
  <c r="E231" i="6"/>
  <c r="E179" i="6"/>
  <c r="B40" i="20" l="1"/>
  <c r="B54" i="20"/>
  <c r="I7" i="20"/>
  <c r="I8" i="20" s="1"/>
  <c r="B41" i="20"/>
  <c r="S7" i="20"/>
  <c r="C257" i="6"/>
  <c r="B42" i="20" l="1"/>
  <c r="B63" i="20" s="1"/>
  <c r="F5" i="6"/>
  <c r="B59" i="20" l="1"/>
  <c r="S8" i="20"/>
  <c r="E5" i="6"/>
  <c r="F255" i="6"/>
  <c r="B37" i="20" l="1"/>
  <c r="E255" i="6"/>
  <c r="E257" i="6" l="1"/>
  <c r="B60" i="20"/>
  <c r="I4" i="20"/>
</calcChain>
</file>

<file path=xl/sharedStrings.xml><?xml version="1.0" encoding="utf-8"?>
<sst xmlns="http://schemas.openxmlformats.org/spreadsheetml/2006/main" count="569" uniqueCount="397">
  <si>
    <t>H.Kodu</t>
  </si>
  <si>
    <t>HESAP ADI</t>
  </si>
  <si>
    <t>TUTAR</t>
  </si>
  <si>
    <t>KALAN</t>
  </si>
  <si>
    <t>Borç</t>
  </si>
  <si>
    <t>Alacak</t>
  </si>
  <si>
    <t>Borç Bakiye</t>
  </si>
  <si>
    <t>Alacak Bakiye</t>
  </si>
  <si>
    <t>DÖNEN VARLIKLAR</t>
  </si>
  <si>
    <t>HAZIR DEĞERLER</t>
  </si>
  <si>
    <t>BANKALAR</t>
  </si>
  <si>
    <t>ALINAN ÇEKLER</t>
  </si>
  <si>
    <t>VERİLEN ÇEKLER VE ÖDM.EMİRLERİ (-)</t>
  </si>
  <si>
    <t>DİĞER HAZIR DEĞERLERİ</t>
  </si>
  <si>
    <t>TİCARİ ALACAKLAR</t>
  </si>
  <si>
    <t>ALICILAR</t>
  </si>
  <si>
    <t>ALACAK SENETLERİ</t>
  </si>
  <si>
    <t>ALACAK SENETLERİ REESKONTU (-)</t>
  </si>
  <si>
    <t>ALINAN VADELİ ÇEKLER *</t>
  </si>
  <si>
    <t>VERİLEN DEPOZİTO VE TEMİNATLAR</t>
  </si>
  <si>
    <t>DİĞER TİCARİ ALACAKLAR</t>
  </si>
  <si>
    <t>ŞÜPHELİ TİCARİ ALACAKLAR</t>
  </si>
  <si>
    <t>ŞÜPHELİ TİCARİ ALACAKLAR KARŞ. (-)</t>
  </si>
  <si>
    <t>DİĞER ALACAKLAR</t>
  </si>
  <si>
    <t>GRUP ŞİRKETLERDEN ALACAKLAR *</t>
  </si>
  <si>
    <t>ORTAKLARDAN ALACAKLAR</t>
  </si>
  <si>
    <t>İŞTİRAKLERDEN ALACAKLAR</t>
  </si>
  <si>
    <t>BAĞLI ORTAKLIKLARDAN ALACAKLAR</t>
  </si>
  <si>
    <t>PERSONELDEN ALACAKLAR</t>
  </si>
  <si>
    <t>DİĞER ÇEŞİTLİ ALACAKLAR</t>
  </si>
  <si>
    <t>DİĞER ALACAK SENETLERİ REESK.(-)</t>
  </si>
  <si>
    <t>ŞÜPHELİ ALACAKLAR</t>
  </si>
  <si>
    <t>ŞÜPHELİ DİĞER ALACAKLAR KARŞ.(-)</t>
  </si>
  <si>
    <t>STOKLAR</t>
  </si>
  <si>
    <t>İLK MADDE VE MALZEME</t>
  </si>
  <si>
    <t>YARI MAMÜLLER - ÜRETİM</t>
  </si>
  <si>
    <t>MAMÜLLER</t>
  </si>
  <si>
    <t>TİCARİ MALLAR</t>
  </si>
  <si>
    <t xml:space="preserve">CANLI HAYVAN STOKLARI </t>
  </si>
  <si>
    <t xml:space="preserve">İŞLETME DIŞINDAKİ STOKLAR </t>
  </si>
  <si>
    <t>DİĞER STOKLAR</t>
  </si>
  <si>
    <t>STOK DEĞER DÜŞÜKLÜĞÜ KARŞ.(-)</t>
  </si>
  <si>
    <t>VERİLEN SİPARİŞ AVANSLARI</t>
  </si>
  <si>
    <t>DİĞER DÖNEN VARLIKLAR</t>
  </si>
  <si>
    <t>DEVREDEN K.D.V.</t>
  </si>
  <si>
    <t>İNDİRİLECEK K.D.V.</t>
  </si>
  <si>
    <t>DİĞER K.D.V</t>
  </si>
  <si>
    <t>PEŞİN ÖDENEN VER.VE FONLAR</t>
  </si>
  <si>
    <t>İŞ AVANSLARI</t>
  </si>
  <si>
    <t>PERSONEL AVANSLARI</t>
  </si>
  <si>
    <t>SAYIM VE TESELLÜM NOKSANLARI</t>
  </si>
  <si>
    <t>DİĞER ÇEŞİTLİ DÖNEN VARLIKLAR</t>
  </si>
  <si>
    <t>DİĞER DÖNEN VARLIKLAR KARŞILIĞI (-)</t>
  </si>
  <si>
    <t>DURAN VARLIKLAR</t>
  </si>
  <si>
    <t>MADDİ DURAN VARLIKLAR</t>
  </si>
  <si>
    <t>ARAZİ VE ARSALAR</t>
  </si>
  <si>
    <t>YER ALTI VE YERÜSTÜ DÜZENLERİ</t>
  </si>
  <si>
    <t>BİNALAR</t>
  </si>
  <si>
    <t xml:space="preserve">TESİS MAKİNA VE CİHAZLAR </t>
  </si>
  <si>
    <t>TAŞITLAR</t>
  </si>
  <si>
    <t>DEMİRBAŞLAR</t>
  </si>
  <si>
    <t>DİĞER MADDİ DURAN VARLIKLAR</t>
  </si>
  <si>
    <t>BİRİKMİŞ AMORTİSMANLAR (-)</t>
  </si>
  <si>
    <t>YAPILMAKTA OLAN YATIRIMLAR</t>
  </si>
  <si>
    <t>VERİLEN AVANSLAR</t>
  </si>
  <si>
    <t>MADDİ OLMAYAN DURAN VARLIKLAR</t>
  </si>
  <si>
    <t xml:space="preserve">HAKLAR </t>
  </si>
  <si>
    <t>ŞEREFİYE</t>
  </si>
  <si>
    <t>KURULUŞ VE ÖRGÜTLENME GİDERLERİ</t>
  </si>
  <si>
    <t>ARAŞTIRMA VEGELİŞTİRME GİDERLERİ</t>
  </si>
  <si>
    <t>ÖZEL MALİYETLER</t>
  </si>
  <si>
    <t>FİNANSAL KİRALAMA KONUSU KIYMETLER</t>
  </si>
  <si>
    <t>BİLGİSAYAR PROGRAMLARI</t>
  </si>
  <si>
    <t xml:space="preserve">VERİLEN AVANSLAR </t>
  </si>
  <si>
    <t>GELECEK YIL.AİT GİDER.VE GELİR TAH.</t>
  </si>
  <si>
    <t>GELECEK YILLARA AİT GİDERLER</t>
  </si>
  <si>
    <t>GELİR TAHAKKUKLARI</t>
  </si>
  <si>
    <t>KISA VADELİ YABANCI KAYNAKLAR</t>
  </si>
  <si>
    <t>MALİ BORÇLAR</t>
  </si>
  <si>
    <t>BANKA KREDİLERİ</t>
  </si>
  <si>
    <t>FİNANSAL KİRALAMA İŞLEML.BORÇLAR</t>
  </si>
  <si>
    <t>U.V.KRED.ANA PARA TAKS.VE FAİZLERİ</t>
  </si>
  <si>
    <t>TAHVİL ANA PARA BORÇ TAKS.VE FAİZL</t>
  </si>
  <si>
    <t>ÇIKARILMIŞ BONO VE SENETLER</t>
  </si>
  <si>
    <t>ÇIKARILMIŞ DİĞER MENKUL KIYMETLER</t>
  </si>
  <si>
    <t>MENKUL KIYMET. İHRAÇ FARKLARI (-)</t>
  </si>
  <si>
    <t>DİĞER MALİ BORÇLAR</t>
  </si>
  <si>
    <t>TİCARİ BORÇLAR</t>
  </si>
  <si>
    <t>SATICILAR</t>
  </si>
  <si>
    <t xml:space="preserve">BORÇ SENETLERİ </t>
  </si>
  <si>
    <t>BORÇ SENETLERİ REESKONTU (-)</t>
  </si>
  <si>
    <t>VERİLEN VADELİ ÇEK.VE ÖDE.EMİR.*</t>
  </si>
  <si>
    <t>ALINAN DEPOZİTO VE TEMİNATLAR</t>
  </si>
  <si>
    <t>DİĞER TİCARİ BORÇLAR</t>
  </si>
  <si>
    <t>DİĞER BORÇLAR</t>
  </si>
  <si>
    <t>GRUP ŞİRKETLERE BORÇLAR*</t>
  </si>
  <si>
    <t>ORTAKLARA BORÇLAR</t>
  </si>
  <si>
    <t>İŞTİRAKLERE BORÇLAR</t>
  </si>
  <si>
    <t>BAĞLI ORTAKLIKLARA BORÇLAR</t>
  </si>
  <si>
    <t>PERSONELE BORÇLAR</t>
  </si>
  <si>
    <t>DİĞER ÇEŞİTLİ BORÇLAR</t>
  </si>
  <si>
    <t>DİĞER BORÇ SENETLERİ REESKONTU(-)</t>
  </si>
  <si>
    <t>ALINAN AVANSLAR</t>
  </si>
  <si>
    <t>ALINAN SİPARİŞ AVANSLARI</t>
  </si>
  <si>
    <t>ALINAN DİĞER AVANSLAR</t>
  </si>
  <si>
    <t>ÖDENECEK VERGİ VE DİĞER YÜKÜMLÜLÜKLER</t>
  </si>
  <si>
    <t>ÖDENCEK VERGİ VE FONLAR</t>
  </si>
  <si>
    <t>ÖDENECEK SOSYAL GÜVENLİK KESİN.</t>
  </si>
  <si>
    <t>VADESİ GEÇ.ERT.TAKS.VER.VE DİĞ.YÜ.</t>
  </si>
  <si>
    <t>ÖDENECEK DİĞER YÜKÜMLÜLÜKLER</t>
  </si>
  <si>
    <t>BORÇ ve GİDER KARŞILIKLARI</t>
  </si>
  <si>
    <t>DÖNEM KARI VER.DİĞ.YAS.YÜK.KARŞ.</t>
  </si>
  <si>
    <t>DÖNEM KARI.PEŞ.ÖDE.VER.DİĞ.YÜK.(-)</t>
  </si>
  <si>
    <t>KIDEM TAZMİNATI KARŞILIĞI</t>
  </si>
  <si>
    <t>MALİYET GİDERLERİ KARŞILIĞI</t>
  </si>
  <si>
    <t>DİĞER BORÇ VE GİDER KARŞILIKLARI</t>
  </si>
  <si>
    <t>DİĞER KISA VADELİ YABANCI KAYNAKLAR</t>
  </si>
  <si>
    <t>HESAPLANAN KDV</t>
  </si>
  <si>
    <t>DİĞER KDV</t>
  </si>
  <si>
    <t>MERKEZ VE ŞUBELER CARİ HESABI</t>
  </si>
  <si>
    <t>SAYIM VE TESELLÜM FAZLALARI</t>
  </si>
  <si>
    <t>DİĞER ÇEŞİTLİ YABANCI KAYNAKLAR</t>
  </si>
  <si>
    <t>UZUN VADELİ YABANCI KAYNAKLAR</t>
  </si>
  <si>
    <t>ERTELENMİŞ FİNANSAL KİRALAMA BORÇL</t>
  </si>
  <si>
    <t>ÇIKARILMIŞ TAHVİLLER</t>
  </si>
  <si>
    <t>MEN.KIY.İHRAÇ FARKLARI(-)</t>
  </si>
  <si>
    <t>BORÇ SENETLERİ</t>
  </si>
  <si>
    <t>ÖZKAYNAKLAR</t>
  </si>
  <si>
    <t>ÖDENMİŞ SERMAYE</t>
  </si>
  <si>
    <t>SERMAYE</t>
  </si>
  <si>
    <t>ÖDENMEMİŞ SERMAYE (-)</t>
  </si>
  <si>
    <t>SERMAYE YEDEKLERİ</t>
  </si>
  <si>
    <t>HİSSE SENETLERİ İHRAÇ PRİMLERİ</t>
  </si>
  <si>
    <t>HİSSE SENETLERİ İPTAL KARLARI</t>
  </si>
  <si>
    <t>MAD.DUR.VAR.YENİDEN DEĞ.ARTIŞLARI</t>
  </si>
  <si>
    <t>İŞT.YENİDEN DEĞ.ARTIŞLARI</t>
  </si>
  <si>
    <t>MALİYET BEDELİ ARTIŞLARI FONU</t>
  </si>
  <si>
    <t xml:space="preserve">DİĞER SERMAYE YEDEKLERİ  </t>
  </si>
  <si>
    <t>KAR YEDEKLERİ</t>
  </si>
  <si>
    <t>YASAL YEDEKLER</t>
  </si>
  <si>
    <t>STATÜ YEDEKLERİ</t>
  </si>
  <si>
    <t>OLAĞANÜSTÜ YEDEKLER</t>
  </si>
  <si>
    <t>DİĞER KAR YEDEKLERİ</t>
  </si>
  <si>
    <t>ÖZEL FONLAR</t>
  </si>
  <si>
    <t>GEÇMİŞ YIL KARLARI</t>
  </si>
  <si>
    <t>GEÇMİŞ YILLAR KARLARI</t>
  </si>
  <si>
    <t>GEÇMİŞ YIL ZARARLARI</t>
  </si>
  <si>
    <t>GEÇMİŞ YILLAR ZARARLARI(-)</t>
  </si>
  <si>
    <t>DÖNEM NET KARI (ZARARI)</t>
  </si>
  <si>
    <t>DÖNEM NET KARI</t>
  </si>
  <si>
    <t>DÖNEM NET ZARARI(-)</t>
  </si>
  <si>
    <t>GELİR TABLOSU HESAPLARI</t>
  </si>
  <si>
    <t>BRÜT SATIŞLAR</t>
  </si>
  <si>
    <t>YURTİÇİ SATIŞLAR</t>
  </si>
  <si>
    <t>YURTDIŞI SATIŞLAR</t>
  </si>
  <si>
    <t>DİĞER GELİRLER</t>
  </si>
  <si>
    <t>SATIŞ İNDİRİMLERİ (-)</t>
  </si>
  <si>
    <t>SATIŞTAN İADELER (-)</t>
  </si>
  <si>
    <t>SATIŞ İSKONTOLARI (-)</t>
  </si>
  <si>
    <t>DİĞER İNDİRİMLER (-)</t>
  </si>
  <si>
    <t>SATIŞLARIN MALİYETİ(-)</t>
  </si>
  <si>
    <t>SATILAN MAMÜLLER MALİYETİ(-)</t>
  </si>
  <si>
    <t>SATILAN TİCARİ MALLAR MALİYETİ (-)</t>
  </si>
  <si>
    <t>SATILAN HİZMET MALİYETİ (-)</t>
  </si>
  <si>
    <t>DİĞER SATIŞLARIN MALİYETİ (-)</t>
  </si>
  <si>
    <t>FAALİYET GİDERLERİ (-)</t>
  </si>
  <si>
    <t>ARAŞTIRMA VE GELİŞTİRME GİD.(-)</t>
  </si>
  <si>
    <t>PAZ.SAT.VE DAĞITIM GİDERLERİ (-)</t>
  </si>
  <si>
    <t>GENEL YÖNETİM GİDERLERİ (-)</t>
  </si>
  <si>
    <t>DİĞER FAALİYETLERİNDEN OLAĞAN GELİR VE KARLAR</t>
  </si>
  <si>
    <t>İŞTİRAKLERDEN TEMETTÜ GELİRLERİ</t>
  </si>
  <si>
    <t>BAĞLI ORTAK.TEMETTÜ GELİRLERİ</t>
  </si>
  <si>
    <t>FAİZ GELİRLERİ</t>
  </si>
  <si>
    <t>KOMİSYON GELİRLERİ</t>
  </si>
  <si>
    <t xml:space="preserve">KONUSU KALMAYAN KARŞILIKLAR </t>
  </si>
  <si>
    <t>MENKUL KIYMET SATIŞ KARLARI</t>
  </si>
  <si>
    <t>KAMBİYO KARLARI</t>
  </si>
  <si>
    <t>REESKONT FAİZ GELİRLERİ</t>
  </si>
  <si>
    <t>DİĞER OLAĞAN GELİR VE KARLAR</t>
  </si>
  <si>
    <t>DİĞER FAALİYETLERDEN OLAĞAN GİDER VE ZARARLAR (-)</t>
  </si>
  <si>
    <t>KOMİSYON GİDERLERİ(-)</t>
  </si>
  <si>
    <t>KARŞILIK GİDERLERİ(-)</t>
  </si>
  <si>
    <t>MENKUL KIYMET SATIŞ ZARARLARI(-)</t>
  </si>
  <si>
    <t>KAMBİYO ZARARLARI(-)</t>
  </si>
  <si>
    <t>REESKONT FAİZ GİDERLERİ(-)</t>
  </si>
  <si>
    <t>DİĞER OLAĞAN GİDER VE ZARARLAR(-)</t>
  </si>
  <si>
    <t>FİNANSMAN GİDERLERİ (-)</t>
  </si>
  <si>
    <t>KISA VADELİ BORÇLANMA GİDERLERİ(-)</t>
  </si>
  <si>
    <t>UZUN VADELİ BORÇLANMA GİDERLERİ(-)</t>
  </si>
  <si>
    <t>OLAĞANDIŞI GELİR VE KARLAR</t>
  </si>
  <si>
    <t>ÖNCEKİ DÖNEM GELİR VE KARLARI</t>
  </si>
  <si>
    <t>DİĞER OLAĞANDIŞI GELİR VE KARLAR</t>
  </si>
  <si>
    <t>OLAĞANDIŞI GİDER VE ZARARLAR (-)</t>
  </si>
  <si>
    <t>ÇALIŞMAYAN KIS.GİD.VE ZARARLARI(-)</t>
  </si>
  <si>
    <t>ÖNCEKİ DÖNEM GİDER VE ZARARLARI(-)</t>
  </si>
  <si>
    <t>DİĞER OLAĞANDIŞI GİDER VE ZARAR.(-)</t>
  </si>
  <si>
    <t>DÖNEM KARI VEYA ZARARI</t>
  </si>
  <si>
    <t>DÖN.KAR.VER.VE DİĞ.YAS.YÜK.KRŞ.(-)</t>
  </si>
  <si>
    <t>DÖNEM NET KARI VEYA ZARARI</t>
  </si>
  <si>
    <t>MALİYET HESAPLARI</t>
  </si>
  <si>
    <t>DİREKT İLK MADDE VE MALZEME GİDERLERİ</t>
  </si>
  <si>
    <t>DİREKT  İLK MADDE  VE MALZEME</t>
  </si>
  <si>
    <t>DİREKT  İLK MADDE  VE MALZEME YAN.HS</t>
  </si>
  <si>
    <t>DİREKT İŞÇİLİK GİDERLERİ</t>
  </si>
  <si>
    <t>DİREKT  İŞÇİLİK  GİDERLERİ</t>
  </si>
  <si>
    <t>DİREKT  İŞÇİLİK  GİDERLERİ YANS.HESABI</t>
  </si>
  <si>
    <t>GENEL YÖNETİM GİDERLERİ</t>
  </si>
  <si>
    <t>GENEL  ÜRETİM GİDERLERİ</t>
  </si>
  <si>
    <t>Genel Üretim Gid.Yan.Hesabı</t>
  </si>
  <si>
    <t>HİZMET ÜRETİM MALİYETİ</t>
  </si>
  <si>
    <t>HİZMET  ÜRETİM  GİDERLERİ</t>
  </si>
  <si>
    <t>ARAŞTIRMA VE GELİŞTİRME GİDERLERİ</t>
  </si>
  <si>
    <t>ARAŞTIRMA  GELİŞTİRME GİDERLERİ</t>
  </si>
  <si>
    <t xml:space="preserve">PAZARLAMA, SATIŞ VE DAĞITIM GİDERLERİ </t>
  </si>
  <si>
    <t>GENEL YÖNETİM GİDERLERİ YANSITMA HESABI</t>
  </si>
  <si>
    <t>TOPLAM</t>
  </si>
  <si>
    <t>HİZMET  ÜRETİM  GİDERLERİ YANSITMA</t>
  </si>
  <si>
    <t xml:space="preserve">FİNANSMAN GİDERLERİ </t>
  </si>
  <si>
    <t>FİNANSMAN GİDERLERİ YANSITMA</t>
  </si>
  <si>
    <t>KASA</t>
  </si>
  <si>
    <t>ENFLASYON DÜZELTME HESABI</t>
  </si>
  <si>
    <t>FİNANSMAN GİDERLERİ</t>
  </si>
  <si>
    <t>ŞİRKETİN FİNANSAL SONUÇLARI</t>
  </si>
  <si>
    <t>Dönen Varlıklar</t>
  </si>
  <si>
    <t>Net Satışlar</t>
  </si>
  <si>
    <t>Brüt Satış Karı</t>
  </si>
  <si>
    <t>Vergi Öncesi Kar</t>
  </si>
  <si>
    <t>ŞİRKETİN FİNANSAL RİSK ORANLARI</t>
  </si>
  <si>
    <t>Öz Sermaye/Kaynaklar Toplamı</t>
  </si>
  <si>
    <t>Öz Sermaye/Borçlar Toplamı</t>
  </si>
  <si>
    <t>ŞİRKETİN FİNANSAL RİSK ORANLARI ÇARPANLARI</t>
  </si>
  <si>
    <t>ŞİRKETİN ORAN BAZINDA FİNANSAL RİSK DEĞERİ</t>
  </si>
  <si>
    <t>Dönem Karı+Finansman Giderleri</t>
  </si>
  <si>
    <t>Varlıklar Toplamı</t>
  </si>
  <si>
    <t>Öz Sermaye</t>
  </si>
  <si>
    <t>Borçlar Toplamı</t>
  </si>
  <si>
    <t>Dağıtılmamış Karlar</t>
  </si>
  <si>
    <t>Net İşletme Sermayesi</t>
  </si>
  <si>
    <t>Net İşlet.Serma./Varlıklar Toplamı</t>
  </si>
  <si>
    <t>Dağıtılma.Karlar/Varlık Toplamı</t>
  </si>
  <si>
    <t>Dön.Karı+Finans Gid./Varlık Toplamı</t>
  </si>
  <si>
    <t>Net Satışlar/Varlıklar Toplamı</t>
  </si>
  <si>
    <t>Net İşl.Sermayesi/Varlık Toplamı</t>
  </si>
  <si>
    <t>Net İşl. Sermayesi/Varlık Toplamı</t>
  </si>
  <si>
    <t>ENFLASYON DÜZELTMESİ KARLARI</t>
  </si>
  <si>
    <t>AKTİF PASİF FARKI</t>
  </si>
  <si>
    <t>ÖDENECEK VERGİ VE FONLAR</t>
  </si>
  <si>
    <t>YILLARA YAYGIN İNŞAAT VE ONARIM MALİYETLERİ</t>
  </si>
  <si>
    <t>YILLARA YAYGIN İNŞAAT ENFLASYON DÜZELTME HESABI</t>
  </si>
  <si>
    <t>GELECEK AYLARA AİT GİDERLER</t>
  </si>
  <si>
    <t>YILLARA YAYGIN İNŞAAT VE ONARIM HAKEDİŞ BEDELLERİ</t>
  </si>
  <si>
    <t>GELECEK YILLARA AİT GELİRLER VE GİDER TAHAKKUKLARI</t>
  </si>
  <si>
    <t>GELECEK YILLARA AİT GELİRLER</t>
  </si>
  <si>
    <t>SERMAYE DÜZELTMESİ OLUMLU FARKLARI</t>
  </si>
  <si>
    <t>YILLARA YAYGIN İNŞAAT ENFLASYON DÜZELTME</t>
  </si>
  <si>
    <t>TAŞERONLARA VERİLEN AVANSLAR</t>
  </si>
  <si>
    <t>GELECEK AYLARA AİT GİDERLER VE GELİR TAHK</t>
  </si>
  <si>
    <t>YILLARA YAYGIN İNŞAAT VE ONARIM HAKEDİŞ BED</t>
  </si>
  <si>
    <t>DİP TOPLAMLAR FARKI</t>
  </si>
  <si>
    <t>AKTİF</t>
  </si>
  <si>
    <t>PASİF</t>
  </si>
  <si>
    <t>MİZAN</t>
  </si>
  <si>
    <t>AKKUZU TARIM ÜRN. OTEL. SAN. VE TİC. LTD. ŞTİ.</t>
  </si>
  <si>
    <t>Dönem :</t>
  </si>
  <si>
    <t>Tarih Aralığı :</t>
  </si>
  <si>
    <t>HESAP KODU</t>
  </si>
  <si>
    <t xml:space="preserve"> </t>
  </si>
  <si>
    <t>01/01/2024-31/12/2024</t>
  </si>
  <si>
    <t>BORÇ</t>
  </si>
  <si>
    <t>ALACAK</t>
  </si>
  <si>
    <t>BORÇ BAKİYESİ</t>
  </si>
  <si>
    <t>ALACAK BAKİYESİ</t>
  </si>
  <si>
    <t xml:space="preserve">  </t>
  </si>
  <si>
    <t>DEĞER</t>
  </si>
  <si>
    <t>RİSK</t>
  </si>
  <si>
    <t>I-LİKİDİTE ORANLARI</t>
  </si>
  <si>
    <t>5-) ÇABUK ORAN</t>
  </si>
  <si>
    <t>II- MALİ YAPI ORANLARI</t>
  </si>
  <si>
    <t>8-)FİNANSMAN GİDERLERİ KARŞILAMA ORANI</t>
  </si>
  <si>
    <t>III- VARLIK KULLANIM ORANLARI</t>
  </si>
  <si>
    <t>3-) BORÇ DEVİR HIZI</t>
  </si>
  <si>
    <t>IV-KARLILIK ORANLARI</t>
  </si>
  <si>
    <t>MENKUL KIYMETLER</t>
  </si>
  <si>
    <t>MALİ ANALİZ</t>
  </si>
  <si>
    <t>BAZ DEĞER</t>
  </si>
  <si>
    <t>DÖNEM KARI VERGİ VE DİĞER YASAL YÜKÜMLÜLÜK KARŞILIKLARI (-)</t>
  </si>
  <si>
    <t>DEVREDEN KATMA DEĞER VERGİSİ</t>
  </si>
  <si>
    <t>İNDİRİLECEK KATMA DEĞER VERGİSİ</t>
  </si>
  <si>
    <t>TESİS, MAKİNE VE CİHAZLAR</t>
  </si>
  <si>
    <t>DÖNEM KARI VERGİ VE DİĞER YASAL YÜKÜMLÜLÜK KARŞILIKLARI</t>
  </si>
  <si>
    <t>ÖDENECEK SOSYAL GÜVENLİK KESİNTİLERİ</t>
  </si>
  <si>
    <t>Stoklar</t>
  </si>
  <si>
    <t>Özkaynaklar</t>
  </si>
  <si>
    <t>Net Kazançlar</t>
  </si>
  <si>
    <t>Likidite iyi</t>
  </si>
  <si>
    <t>Faiz Giderleri</t>
  </si>
  <si>
    <t>Net Borçlar (Toplam Borçlar - Nakit)</t>
  </si>
  <si>
    <t>YORUM</t>
  </si>
  <si>
    <t>RASYOLAR</t>
  </si>
  <si>
    <t>Finansal Risk Değeri   (Frd) (0,75-3,25 Baz Puan)</t>
  </si>
  <si>
    <t>Brüt Satış Karı/Kaynak Top</t>
  </si>
  <si>
    <t>Vergi Öncesi Kar/KaynakTop</t>
  </si>
  <si>
    <t>Net Satışlar/KaynakToplamı</t>
  </si>
  <si>
    <t>ALTMAN'IN (Z-SKOR DEĞERİYLE) FİNANSAL CHECK-UP</t>
  </si>
  <si>
    <t>FİNANSAL RİSK YÖNTEMİYLE CHECK-UP</t>
  </si>
  <si>
    <t>ALTMAN Z-SCOR DEĞERİ-(0,50-3,00 BAZ PUAN)</t>
  </si>
  <si>
    <t>Kısa Vadeli Yabancı Kaynaklar (KVYK)</t>
  </si>
  <si>
    <t>Uzun Vadeli Yabancı Kaynaklar (UVYK)</t>
  </si>
  <si>
    <t>Toplam Yabancı Kaynaklar</t>
  </si>
  <si>
    <t>Aktif Toplamı (Toplam Varlıklar)</t>
  </si>
  <si>
    <t>Kâr Yedekleri</t>
  </si>
  <si>
    <t>Geçmiş Yıl Zararları</t>
  </si>
  <si>
    <t>Ödenmiş Sermaye</t>
  </si>
  <si>
    <t>Satışların Maliyeti</t>
  </si>
  <si>
    <t>Faiz ve Vergi Öncesi Kar (EBIT)</t>
  </si>
  <si>
    <t>Ticari Borçlar</t>
  </si>
  <si>
    <t>Satın Alımlar</t>
  </si>
  <si>
    <t>Dönem Net Kârı</t>
  </si>
  <si>
    <t>Kâr veya Zarar (Geçmiş Yıllar) :</t>
  </si>
  <si>
    <t>EBITDA (Faiz, Vergi ve Amortisman Öncesi Kar):</t>
  </si>
  <si>
    <t>Net Borçlar</t>
  </si>
  <si>
    <t>1-) CARİ ORAN</t>
  </si>
  <si>
    <t xml:space="preserve">2-) LİKİDİTE ORANI </t>
  </si>
  <si>
    <t xml:space="preserve">3-) NAKİT ORAN </t>
  </si>
  <si>
    <t xml:space="preserve">4-) STOK BAĞORANI </t>
  </si>
  <si>
    <t xml:space="preserve">1-) KALDIRAÇ ORANI </t>
  </si>
  <si>
    <t xml:space="preserve">2-) ÖZ KAYNAK ORANI </t>
  </si>
  <si>
    <t xml:space="preserve">3-) FİNANSMAN ORANI </t>
  </si>
  <si>
    <t xml:space="preserve">4-) KVYK ORANI </t>
  </si>
  <si>
    <t xml:space="preserve">5-) UVYK ORANI </t>
  </si>
  <si>
    <t>6-) YABANCI KAYNAKLAR VADESİ YAPISI ORANI</t>
  </si>
  <si>
    <t xml:space="preserve">7-) OTOFİNANSMAN ORANI </t>
  </si>
  <si>
    <t>1-) ALACAK DEVİR HIZI ORANI</t>
  </si>
  <si>
    <t xml:space="preserve">2-) STOK DEVİR HIZI ORANI </t>
  </si>
  <si>
    <t>4-) AKTİF DEVİR HIZI ORANI</t>
  </si>
  <si>
    <t xml:space="preserve">5-) ÖZ KAYNAK DEVİR HIZI </t>
  </si>
  <si>
    <t>1-) ÖZ KAYNAK NET KARLILIK ORANI</t>
  </si>
  <si>
    <t>2-) BRÜT SATIŞ KARI ORANI</t>
  </si>
  <si>
    <t xml:space="preserve">3-) DÖNEM NET KARI ORANI </t>
  </si>
  <si>
    <t>4-)AKTİF KARLILIK ORANI</t>
  </si>
  <si>
    <t>KV Faiz Doğuran Borçlar</t>
  </si>
  <si>
    <t>KV Faiz Doğurmıyan Borçlar</t>
  </si>
  <si>
    <t>Uzun Vadeli Borçlar</t>
  </si>
  <si>
    <t>Kaynaklar Toplamı</t>
  </si>
  <si>
    <t>Brüt Satışlar</t>
  </si>
  <si>
    <t>Stok hariç likidite yeterli</t>
  </si>
  <si>
    <t>Nakit yeterli</t>
  </si>
  <si>
    <t>Kaldıraç düşük</t>
  </si>
  <si>
    <t>Sağlam özkaynak yapısı</t>
  </si>
  <si>
    <t>Finansman yapısı güçlü</t>
  </si>
  <si>
    <t>Stok oranı zayıf</t>
  </si>
  <si>
    <t>Çabuk oran iyi</t>
  </si>
  <si>
    <t>Kısa vadeli yükümlülük düşük</t>
  </si>
  <si>
    <t>Uzun vadeli yükümlülük düşük</t>
  </si>
  <si>
    <t>Kısa vadeli yükümlülük yüksek</t>
  </si>
  <si>
    <t>Finansman giderleri zayıf</t>
  </si>
  <si>
    <t>Alacak devir hızı düşük</t>
  </si>
  <si>
    <t>Borç devir hızı düşük</t>
  </si>
  <si>
    <t>Aktif devir hızı iyi</t>
  </si>
  <si>
    <t>Özkaynak devir hızı iyi</t>
  </si>
  <si>
    <t>Özkaynak kârlılığı düşük</t>
  </si>
  <si>
    <t>Brüt satış kârı düşük</t>
  </si>
  <si>
    <t>Dönem net kârı düşük</t>
  </si>
  <si>
    <t>Aktif kârlılığı düşük</t>
  </si>
  <si>
    <t>Firma Sağlam</t>
  </si>
  <si>
    <t>HİZMET ÜRETİM MALİYETİ YANSITMA HESABI</t>
  </si>
  <si>
    <t>DÖNEM KARININ PEŞİN ÖDENEN VERGİ VE DİĞER YÜKÜMLÜLÜKLERİ (-)</t>
  </si>
  <si>
    <t>Stok devir hızı düşük</t>
  </si>
  <si>
    <t>Hazır Değerler</t>
  </si>
  <si>
    <t xml:space="preserve"> Ticari Alacaklar</t>
  </si>
  <si>
    <t xml:space="preserve">Aktif Toplamı  </t>
  </si>
  <si>
    <t>Duran Varlıklar</t>
  </si>
  <si>
    <t>Düşük Risk</t>
  </si>
  <si>
    <t>K.V.Y.K</t>
  </si>
  <si>
    <t>ÖZ SERMAYE</t>
  </si>
  <si>
    <t>U.V.Y.K</t>
  </si>
  <si>
    <t>AKTİF TOPLAMI</t>
  </si>
  <si>
    <t>ÖZ KAYNAKLAR</t>
  </si>
  <si>
    <t>NET SATIŞLAR</t>
  </si>
  <si>
    <t>SATIŞLARIN MALİYETİ</t>
  </si>
  <si>
    <t>B37</t>
  </si>
  <si>
    <t>B40</t>
  </si>
  <si>
    <t>B43</t>
  </si>
  <si>
    <t>B39</t>
  </si>
  <si>
    <t>B38</t>
  </si>
  <si>
    <t>B52</t>
  </si>
  <si>
    <t>B68</t>
  </si>
  <si>
    <t>B41</t>
  </si>
  <si>
    <t>B44</t>
  </si>
  <si>
    <t>B47</t>
  </si>
  <si>
    <t>B57</t>
  </si>
  <si>
    <t>B49</t>
  </si>
  <si>
    <t>B48</t>
  </si>
  <si>
    <t>B65</t>
  </si>
  <si>
    <t>Otofinansman güçlü</t>
  </si>
  <si>
    <t>NET İŞLETME SERMAYESİ</t>
  </si>
  <si>
    <t xml:space="preserve">DEVAMLI SERMAYE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</si>
</sst>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₺&quot;#,##0.00"/>
  </numFmts>
  <fonts count="33" x14ac:knownFonts="1">
    <font>
      <sz val="11"/>
      <color theme="1"/>
      <name val="Calibri"/>
      <family val="2"/>
      <charset val="162"/>
      <scheme val="minor"/>
    </font>
    <font>
      <b/>
      <sz val="11"/>
      <color rgb="FFFF0000"/>
      <name val="Calibri"/>
      <family val="2"/>
      <charset val="162"/>
      <scheme val="minor"/>
    </font>
    <font>
      <sz val="11"/>
      <name val="Calibri"/>
      <family val="2"/>
      <charset val="162"/>
    </font>
    <font>
      <sz val="11"/>
      <name val="Calibri"/>
      <family val="2"/>
      <charset val="162"/>
    </font>
    <font>
      <b/>
      <sz val="12"/>
      <color theme="1"/>
      <name val="Calibri"/>
      <family val="2"/>
      <charset val="162"/>
      <scheme val="minor"/>
    </font>
    <font>
      <sz val="12"/>
      <color theme="1"/>
      <name val="Calibri"/>
      <family val="2"/>
      <charset val="162"/>
      <scheme val="minor"/>
    </font>
    <font>
      <b/>
      <sz val="12"/>
      <color indexed="8"/>
      <name val="Tahoma"/>
      <family val="2"/>
      <charset val="162"/>
    </font>
    <font>
      <b/>
      <sz val="12"/>
      <color rgb="FFFF0000"/>
      <name val="Tahoma"/>
      <family val="2"/>
      <charset val="162"/>
    </font>
    <font>
      <b/>
      <sz val="12"/>
      <name val="Tahoma"/>
      <family val="2"/>
      <charset val="162"/>
    </font>
    <font>
      <b/>
      <sz val="12"/>
      <name val="Calibri"/>
      <family val="2"/>
      <charset val="162"/>
      <scheme val="minor"/>
    </font>
    <font>
      <sz val="12"/>
      <color theme="1"/>
      <name val="Tahoma"/>
      <family val="2"/>
      <charset val="162"/>
    </font>
    <font>
      <sz val="12"/>
      <color rgb="FFFF0000"/>
      <name val="Calibri"/>
      <family val="2"/>
      <charset val="162"/>
      <scheme val="minor"/>
    </font>
    <font>
      <sz val="12"/>
      <color theme="1" tint="4.9989318521683403E-2"/>
      <name val="Tahoma"/>
      <family val="2"/>
      <charset val="162"/>
    </font>
    <font>
      <b/>
      <sz val="12"/>
      <color rgb="FFFF0000"/>
      <name val="Calibri"/>
      <family val="2"/>
      <charset val="162"/>
      <scheme val="minor"/>
    </font>
    <font>
      <sz val="12"/>
      <color rgb="FF000000"/>
      <name val="Tahoma"/>
      <family val="2"/>
      <charset val="162"/>
    </font>
    <font>
      <sz val="12"/>
      <name val="Tahoma"/>
      <family val="2"/>
      <charset val="162"/>
    </font>
    <font>
      <sz val="12"/>
      <name val="Calibri"/>
      <family val="2"/>
      <charset val="162"/>
      <scheme val="minor"/>
    </font>
    <font>
      <b/>
      <sz val="12"/>
      <color theme="1"/>
      <name val="Tahoma"/>
      <family val="2"/>
      <charset val="162"/>
    </font>
    <font>
      <sz val="11"/>
      <color indexed="8"/>
      <name val="Calibri"/>
      <family val="2"/>
      <scheme val="minor"/>
    </font>
    <font>
      <sz val="8"/>
      <name val="Calibri"/>
      <family val="2"/>
      <charset val="162"/>
      <scheme val="minor"/>
    </font>
    <font>
      <b/>
      <sz val="12"/>
      <color theme="0"/>
      <name val="Tahoma"/>
      <family val="2"/>
      <charset val="162"/>
    </font>
    <font>
      <b/>
      <sz val="12"/>
      <color theme="1" tint="4.9989318521683403E-2"/>
      <name val="Tahoma"/>
      <family val="2"/>
      <charset val="162"/>
    </font>
    <font>
      <b/>
      <sz val="12"/>
      <color indexed="8"/>
      <name val="Calibri"/>
      <family val="2"/>
      <charset val="162"/>
    </font>
    <font>
      <sz val="10"/>
      <color indexed="8"/>
      <name val="Calibri"/>
      <family val="2"/>
      <charset val="162"/>
    </font>
    <font>
      <b/>
      <sz val="10"/>
      <color indexed="8"/>
      <name val="Calibri"/>
      <family val="2"/>
      <charset val="162"/>
    </font>
    <font>
      <sz val="10"/>
      <color indexed="8"/>
      <name val="Calibri"/>
      <family val="2"/>
      <charset val="162"/>
    </font>
    <font>
      <sz val="11"/>
      <name val="Calibri"/>
    </font>
    <font>
      <b/>
      <sz val="11"/>
      <name val="Calibri"/>
      <family val="2"/>
      <charset val="162"/>
    </font>
    <font>
      <b/>
      <sz val="14"/>
      <color rgb="FF000000"/>
      <name val="Calibri"/>
      <family val="2"/>
      <charset val="162"/>
    </font>
    <font>
      <b/>
      <sz val="16"/>
      <color rgb="FF000000"/>
      <name val="Calibri"/>
      <family val="2"/>
      <charset val="162"/>
    </font>
    <font>
      <b/>
      <sz val="11"/>
      <color theme="1"/>
      <name val="Calibri"/>
      <family val="2"/>
      <charset val="162"/>
      <scheme val="minor"/>
    </font>
    <font>
      <b/>
      <sz val="11"/>
      <color rgb="FFFF0000"/>
      <name val="Calibri"/>
      <family val="2"/>
      <charset val="162"/>
    </font>
    <font>
      <sz val="11"/>
      <color theme="1"/>
      <name val="Calibri"/>
      <family val="2"/>
      <charset val="16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FF00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auto="1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5">
    <xf numFmtId="0" fontId="0" fillId="0" borderId="0"/>
    <xf numFmtId="0" fontId="2" fillId="0" borderId="0"/>
    <xf numFmtId="0" fontId="3" fillId="0" borderId="0"/>
    <xf numFmtId="0" fontId="18" fillId="0" borderId="0"/>
    <xf numFmtId="0" fontId="26" fillId="0" borderId="0"/>
  </cellStyleXfs>
  <cellXfs count="220">
    <xf numFmtId="0" fontId="0" fillId="0" borderId="0" xfId="0"/>
    <xf numFmtId="0" fontId="0" fillId="0" borderId="6" xfId="0" applyBorder="1"/>
    <xf numFmtId="164" fontId="0" fillId="0" borderId="8" xfId="0" applyNumberFormat="1" applyBorder="1"/>
    <xf numFmtId="2" fontId="0" fillId="0" borderId="8" xfId="0" applyNumberFormat="1" applyBorder="1"/>
    <xf numFmtId="0" fontId="4" fillId="0" borderId="0" xfId="0" applyFont="1" applyProtection="1">
      <protection locked="0"/>
    </xf>
    <xf numFmtId="1" fontId="5" fillId="0" borderId="0" xfId="0" applyNumberFormat="1" applyFont="1" applyAlignment="1" applyProtection="1">
      <alignment horizontal="left"/>
      <protection locked="0"/>
    </xf>
    <xf numFmtId="0" fontId="5" fillId="0" borderId="0" xfId="0" applyFont="1" applyProtection="1">
      <protection locked="0"/>
    </xf>
    <xf numFmtId="164" fontId="5" fillId="0" borderId="0" xfId="0" applyNumberFormat="1" applyFont="1" applyProtection="1">
      <protection locked="0"/>
    </xf>
    <xf numFmtId="4" fontId="5" fillId="0" borderId="0" xfId="0" applyNumberFormat="1" applyFont="1" applyProtection="1">
      <protection locked="0"/>
    </xf>
    <xf numFmtId="0" fontId="6" fillId="2" borderId="4" xfId="0" applyFont="1" applyFill="1" applyBorder="1" applyAlignment="1" applyProtection="1">
      <alignment horizontal="center" vertical="center" wrapText="1"/>
      <protection locked="0"/>
    </xf>
    <xf numFmtId="164" fontId="4" fillId="0" borderId="0" xfId="0" applyNumberFormat="1" applyFont="1" applyProtection="1">
      <protection locked="0"/>
    </xf>
    <xf numFmtId="4" fontId="4" fillId="0" borderId="0" xfId="0" applyNumberFormat="1" applyFont="1" applyProtection="1">
      <protection locked="0"/>
    </xf>
    <xf numFmtId="0" fontId="9" fillId="0" borderId="0" xfId="0" applyFont="1" applyProtection="1">
      <protection locked="0"/>
    </xf>
    <xf numFmtId="164" fontId="9" fillId="0" borderId="0" xfId="0" applyNumberFormat="1" applyFont="1" applyProtection="1">
      <protection locked="0"/>
    </xf>
    <xf numFmtId="4" fontId="9" fillId="0" borderId="0" xfId="0" applyNumberFormat="1" applyFont="1" applyProtection="1">
      <protection locked="0"/>
    </xf>
    <xf numFmtId="0" fontId="11" fillId="0" borderId="0" xfId="0" applyFont="1" applyProtection="1">
      <protection locked="0"/>
    </xf>
    <xf numFmtId="164" fontId="11" fillId="0" borderId="0" xfId="0" applyNumberFormat="1" applyFont="1" applyProtection="1">
      <protection locked="0"/>
    </xf>
    <xf numFmtId="4" fontId="11" fillId="0" borderId="0" xfId="0" applyNumberFormat="1" applyFont="1" applyProtection="1">
      <protection locked="0"/>
    </xf>
    <xf numFmtId="0" fontId="13" fillId="0" borderId="0" xfId="0" applyFont="1" applyProtection="1">
      <protection locked="0"/>
    </xf>
    <xf numFmtId="164" fontId="13" fillId="0" borderId="0" xfId="0" applyNumberFormat="1" applyFont="1" applyProtection="1">
      <protection locked="0"/>
    </xf>
    <xf numFmtId="4" fontId="13" fillId="0" borderId="0" xfId="0" applyNumberFormat="1" applyFont="1" applyProtection="1">
      <protection locked="0"/>
    </xf>
    <xf numFmtId="164" fontId="14" fillId="4" borderId="13" xfId="1" applyNumberFormat="1" applyFont="1" applyFill="1" applyBorder="1" applyAlignment="1">
      <alignment horizontal="right" vertical="top" wrapText="1"/>
    </xf>
    <xf numFmtId="0" fontId="16" fillId="0" borderId="0" xfId="0" applyFont="1" applyProtection="1">
      <protection locked="0"/>
    </xf>
    <xf numFmtId="164" fontId="16" fillId="0" borderId="0" xfId="0" applyNumberFormat="1" applyFont="1" applyProtection="1">
      <protection locked="0"/>
    </xf>
    <xf numFmtId="4" fontId="16" fillId="0" borderId="0" xfId="0" applyNumberFormat="1" applyFont="1" applyProtection="1">
      <protection locked="0"/>
    </xf>
    <xf numFmtId="4" fontId="5" fillId="0" borderId="0" xfId="0" quotePrefix="1" applyNumberFormat="1" applyFont="1" applyAlignment="1" applyProtection="1">
      <alignment horizontal="left"/>
      <protection locked="0"/>
    </xf>
    <xf numFmtId="1" fontId="7" fillId="2" borderId="1" xfId="0" applyNumberFormat="1" applyFont="1" applyFill="1" applyBorder="1" applyAlignment="1" applyProtection="1">
      <alignment horizontal="left" vertical="center" wrapText="1"/>
      <protection hidden="1"/>
    </xf>
    <xf numFmtId="0" fontId="7" fillId="2" borderId="5" xfId="0" applyFont="1" applyFill="1" applyBorder="1" applyAlignment="1" applyProtection="1">
      <alignment horizontal="left" vertical="center" wrapText="1"/>
      <protection hidden="1"/>
    </xf>
    <xf numFmtId="1" fontId="8" fillId="2" borderId="6" xfId="0" applyNumberFormat="1" applyFont="1" applyFill="1" applyBorder="1" applyAlignment="1" applyProtection="1">
      <alignment horizontal="left" vertical="center" wrapText="1"/>
      <protection hidden="1"/>
    </xf>
    <xf numFmtId="0" fontId="8" fillId="2" borderId="7" xfId="0" applyFont="1" applyFill="1" applyBorder="1" applyAlignment="1" applyProtection="1">
      <alignment horizontal="left" vertical="center" wrapText="1"/>
      <protection hidden="1"/>
    </xf>
    <xf numFmtId="1" fontId="10" fillId="2" borderId="10" xfId="0" applyNumberFormat="1" applyFont="1" applyFill="1" applyBorder="1" applyAlignment="1" applyProtection="1">
      <alignment horizontal="left" vertical="center" wrapText="1"/>
      <protection hidden="1"/>
    </xf>
    <xf numFmtId="0" fontId="10" fillId="2" borderId="11" xfId="0" applyFont="1" applyFill="1" applyBorder="1" applyAlignment="1" applyProtection="1">
      <alignment horizontal="left" vertical="center" wrapText="1"/>
      <protection hidden="1"/>
    </xf>
    <xf numFmtId="1" fontId="12" fillId="3" borderId="6" xfId="0" applyNumberFormat="1" applyFont="1" applyFill="1" applyBorder="1" applyAlignment="1" applyProtection="1">
      <alignment horizontal="left"/>
      <protection hidden="1"/>
    </xf>
    <xf numFmtId="0" fontId="12" fillId="3" borderId="7" xfId="0" applyFont="1" applyFill="1" applyBorder="1" applyProtection="1">
      <protection hidden="1"/>
    </xf>
    <xf numFmtId="1" fontId="8" fillId="3" borderId="6" xfId="0" applyNumberFormat="1" applyFont="1" applyFill="1" applyBorder="1" applyAlignment="1" applyProtection="1">
      <alignment horizontal="left"/>
      <protection hidden="1"/>
    </xf>
    <xf numFmtId="0" fontId="8" fillId="3" borderId="7" xfId="0" applyFont="1" applyFill="1" applyBorder="1" applyProtection="1">
      <protection hidden="1"/>
    </xf>
    <xf numFmtId="1" fontId="7" fillId="3" borderId="6" xfId="0" applyNumberFormat="1" applyFont="1" applyFill="1" applyBorder="1" applyAlignment="1" applyProtection="1">
      <alignment horizontal="left"/>
      <protection hidden="1"/>
    </xf>
    <xf numFmtId="0" fontId="7" fillId="3" borderId="7" xfId="0" applyFont="1" applyFill="1" applyBorder="1" applyProtection="1">
      <protection hidden="1"/>
    </xf>
    <xf numFmtId="1" fontId="10" fillId="3" borderId="6" xfId="0" applyNumberFormat="1" applyFont="1" applyFill="1" applyBorder="1" applyAlignment="1" applyProtection="1">
      <alignment horizontal="left"/>
      <protection hidden="1"/>
    </xf>
    <xf numFmtId="0" fontId="10" fillId="3" borderId="7" xfId="0" applyFont="1" applyFill="1" applyBorder="1" applyProtection="1">
      <protection hidden="1"/>
    </xf>
    <xf numFmtId="1" fontId="15" fillId="3" borderId="6" xfId="0" applyNumberFormat="1" applyFont="1" applyFill="1" applyBorder="1" applyAlignment="1" applyProtection="1">
      <alignment horizontal="left"/>
      <protection hidden="1"/>
    </xf>
    <xf numFmtId="0" fontId="15" fillId="3" borderId="7" xfId="0" applyFont="1" applyFill="1" applyBorder="1" applyProtection="1">
      <protection hidden="1"/>
    </xf>
    <xf numFmtId="1" fontId="15" fillId="3" borderId="2" xfId="0" applyNumberFormat="1" applyFont="1" applyFill="1" applyBorder="1" applyAlignment="1" applyProtection="1">
      <alignment horizontal="left"/>
      <protection hidden="1"/>
    </xf>
    <xf numFmtId="0" fontId="15" fillId="3" borderId="9" xfId="0" applyFont="1" applyFill="1" applyBorder="1" applyProtection="1">
      <protection hidden="1"/>
    </xf>
    <xf numFmtId="1" fontId="5" fillId="0" borderId="0" xfId="0" applyNumberFormat="1" applyFont="1" applyAlignment="1" applyProtection="1">
      <alignment horizontal="left"/>
      <protection hidden="1"/>
    </xf>
    <xf numFmtId="0" fontId="5" fillId="0" borderId="0" xfId="0" applyFont="1" applyProtection="1">
      <protection hidden="1"/>
    </xf>
    <xf numFmtId="0" fontId="7" fillId="5" borderId="4" xfId="0" applyFont="1" applyFill="1" applyBorder="1" applyAlignment="1" applyProtection="1">
      <alignment horizontal="center" vertical="center"/>
      <protection hidden="1"/>
    </xf>
    <xf numFmtId="1" fontId="21" fillId="3" borderId="6" xfId="0" applyNumberFormat="1" applyFont="1" applyFill="1" applyBorder="1" applyAlignment="1" applyProtection="1">
      <alignment horizontal="left"/>
      <protection hidden="1"/>
    </xf>
    <xf numFmtId="0" fontId="21" fillId="3" borderId="7" xfId="0" applyFont="1" applyFill="1" applyBorder="1" applyProtection="1">
      <protection hidden="1"/>
    </xf>
    <xf numFmtId="0" fontId="21" fillId="3" borderId="7" xfId="0" quotePrefix="1" applyFont="1" applyFill="1" applyBorder="1" applyAlignment="1" applyProtection="1">
      <alignment horizontal="left"/>
      <protection hidden="1"/>
    </xf>
    <xf numFmtId="0" fontId="12" fillId="3" borderId="7" xfId="0" quotePrefix="1" applyFont="1" applyFill="1" applyBorder="1" applyAlignment="1" applyProtection="1">
      <alignment horizontal="left"/>
      <protection hidden="1"/>
    </xf>
    <xf numFmtId="0" fontId="13" fillId="5" borderId="4" xfId="0" applyFont="1" applyFill="1" applyBorder="1" applyAlignment="1" applyProtection="1">
      <alignment horizontal="center"/>
      <protection hidden="1"/>
    </xf>
    <xf numFmtId="4" fontId="24" fillId="6" borderId="14" xfId="0" applyNumberFormat="1" applyFont="1" applyFill="1" applyBorder="1" applyAlignment="1">
      <alignment horizontal="right" vertical="top" shrinkToFit="1"/>
    </xf>
    <xf numFmtId="0" fontId="24" fillId="7" borderId="17" xfId="0" applyFont="1" applyFill="1" applyBorder="1" applyAlignment="1">
      <alignment horizontal="center" vertical="center" wrapText="1"/>
    </xf>
    <xf numFmtId="4" fontId="7" fillId="2" borderId="5" xfId="0" applyNumberFormat="1" applyFont="1" applyFill="1" applyBorder="1" applyAlignment="1" applyProtection="1">
      <alignment vertical="center" wrapText="1"/>
      <protection hidden="1"/>
    </xf>
    <xf numFmtId="4" fontId="8" fillId="2" borderId="5" xfId="0" applyNumberFormat="1" applyFont="1" applyFill="1" applyBorder="1" applyAlignment="1" applyProtection="1">
      <alignment vertical="center" wrapText="1"/>
      <protection hidden="1"/>
    </xf>
    <xf numFmtId="4" fontId="8" fillId="2" borderId="7" xfId="0" applyNumberFormat="1" applyFont="1" applyFill="1" applyBorder="1" applyAlignment="1" applyProtection="1">
      <alignment vertical="center" wrapText="1"/>
      <protection hidden="1"/>
    </xf>
    <xf numFmtId="4" fontId="17" fillId="0" borderId="7" xfId="0" applyNumberFormat="1" applyFont="1" applyBorder="1" applyProtection="1">
      <protection hidden="1"/>
    </xf>
    <xf numFmtId="4" fontId="17" fillId="0" borderId="12" xfId="0" applyNumberFormat="1" applyFont="1" applyBorder="1" applyAlignment="1" applyProtection="1">
      <alignment vertical="center"/>
      <protection hidden="1"/>
    </xf>
    <xf numFmtId="4" fontId="10" fillId="2" borderId="11" xfId="0" applyNumberFormat="1" applyFont="1" applyFill="1" applyBorder="1" applyAlignment="1" applyProtection="1">
      <alignment vertical="center" wrapText="1"/>
      <protection hidden="1"/>
    </xf>
    <xf numFmtId="4" fontId="10" fillId="0" borderId="7" xfId="0" applyNumberFormat="1" applyFont="1" applyBorder="1" applyProtection="1">
      <protection hidden="1"/>
    </xf>
    <xf numFmtId="4" fontId="10" fillId="0" borderId="12" xfId="0" applyNumberFormat="1" applyFont="1" applyBorder="1" applyAlignment="1" applyProtection="1">
      <alignment vertical="center"/>
      <protection hidden="1"/>
    </xf>
    <xf numFmtId="4" fontId="10" fillId="0" borderId="8" xfId="0" applyNumberFormat="1" applyFont="1" applyBorder="1" applyProtection="1">
      <protection hidden="1"/>
    </xf>
    <xf numFmtId="4" fontId="8" fillId="0" borderId="7" xfId="0" applyNumberFormat="1" applyFont="1" applyBorder="1" applyProtection="1">
      <protection hidden="1"/>
    </xf>
    <xf numFmtId="4" fontId="17" fillId="0" borderId="8" xfId="0" applyNumberFormat="1" applyFont="1" applyBorder="1" applyProtection="1">
      <protection hidden="1"/>
    </xf>
    <xf numFmtId="4" fontId="8" fillId="0" borderId="8" xfId="0" applyNumberFormat="1" applyFont="1" applyBorder="1" applyProtection="1">
      <protection hidden="1"/>
    </xf>
    <xf numFmtId="4" fontId="7" fillId="0" borderId="7" xfId="0" applyNumberFormat="1" applyFont="1" applyBorder="1" applyProtection="1">
      <protection hidden="1"/>
    </xf>
    <xf numFmtId="4" fontId="20" fillId="0" borderId="7" xfId="0" applyNumberFormat="1" applyFont="1" applyBorder="1" applyProtection="1">
      <protection hidden="1"/>
    </xf>
    <xf numFmtId="4" fontId="7" fillId="0" borderId="8" xfId="0" applyNumberFormat="1" applyFont="1" applyBorder="1" applyProtection="1">
      <protection hidden="1"/>
    </xf>
    <xf numFmtId="4" fontId="15" fillId="0" borderId="7" xfId="0" applyNumberFormat="1" applyFont="1" applyBorder="1" applyProtection="1">
      <protection hidden="1"/>
    </xf>
    <xf numFmtId="4" fontId="15" fillId="0" borderId="8" xfId="0" applyNumberFormat="1" applyFont="1" applyBorder="1" applyProtection="1">
      <protection hidden="1"/>
    </xf>
    <xf numFmtId="4" fontId="10" fillId="0" borderId="9" xfId="0" applyNumberFormat="1" applyFont="1" applyBorder="1" applyProtection="1">
      <protection hidden="1"/>
    </xf>
    <xf numFmtId="4" fontId="10" fillId="0" borderId="3" xfId="0" applyNumberFormat="1" applyFont="1" applyBorder="1" applyProtection="1">
      <protection hidden="1"/>
    </xf>
    <xf numFmtId="4" fontId="17" fillId="0" borderId="4" xfId="0" applyNumberFormat="1" applyFont="1" applyBorder="1" applyProtection="1">
      <protection hidden="1"/>
    </xf>
    <xf numFmtId="0" fontId="0" fillId="8" borderId="0" xfId="0" applyFill="1"/>
    <xf numFmtId="0" fontId="26" fillId="0" borderId="18" xfId="4" applyBorder="1"/>
    <xf numFmtId="2" fontId="26" fillId="0" borderId="18" xfId="4" applyNumberFormat="1" applyBorder="1"/>
    <xf numFmtId="0" fontId="26" fillId="0" borderId="18" xfId="4" applyBorder="1" applyAlignment="1">
      <alignment horizontal="center"/>
    </xf>
    <xf numFmtId="1" fontId="26" fillId="0" borderId="18" xfId="4" applyNumberFormat="1" applyBorder="1" applyAlignment="1">
      <alignment horizontal="center"/>
    </xf>
    <xf numFmtId="0" fontId="2" fillId="0" borderId="18" xfId="4" applyFont="1" applyBorder="1"/>
    <xf numFmtId="0" fontId="2" fillId="0" borderId="18" xfId="4" applyFont="1" applyBorder="1" applyAlignment="1">
      <alignment horizontal="center"/>
    </xf>
    <xf numFmtId="0" fontId="21" fillId="3" borderId="18" xfId="0" applyFont="1" applyFill="1" applyBorder="1" applyProtection="1">
      <protection hidden="1"/>
    </xf>
    <xf numFmtId="4" fontId="17" fillId="2" borderId="11" xfId="0" applyNumberFormat="1" applyFont="1" applyFill="1" applyBorder="1" applyAlignment="1" applyProtection="1">
      <alignment vertical="center" wrapText="1"/>
      <protection hidden="1"/>
    </xf>
    <xf numFmtId="4" fontId="17" fillId="0" borderId="18" xfId="0" applyNumberFormat="1" applyFont="1" applyBorder="1" applyProtection="1">
      <protection hidden="1"/>
    </xf>
    <xf numFmtId="2" fontId="26" fillId="0" borderId="18" xfId="4" applyNumberFormat="1" applyBorder="1" applyAlignment="1">
      <alignment horizontal="center"/>
    </xf>
    <xf numFmtId="0" fontId="22" fillId="6" borderId="24" xfId="0" applyFont="1" applyFill="1" applyBorder="1" applyAlignment="1">
      <alignment horizontal="left" vertical="top" wrapText="1"/>
    </xf>
    <xf numFmtId="4" fontId="22" fillId="6" borderId="24" xfId="0" applyNumberFormat="1" applyFont="1" applyFill="1" applyBorder="1" applyAlignment="1">
      <alignment horizontal="right" vertical="top" shrinkToFit="1"/>
    </xf>
    <xf numFmtId="4" fontId="0" fillId="0" borderId="25" xfId="0" applyNumberFormat="1" applyBorder="1"/>
    <xf numFmtId="4" fontId="10" fillId="2" borderId="26" xfId="0" applyNumberFormat="1" applyFont="1" applyFill="1" applyBorder="1" applyAlignment="1" applyProtection="1">
      <alignment vertical="center" wrapText="1"/>
      <protection hidden="1"/>
    </xf>
    <xf numFmtId="4" fontId="10" fillId="0" borderId="26" xfId="0" applyNumberFormat="1" applyFont="1" applyBorder="1" applyProtection="1">
      <protection hidden="1"/>
    </xf>
    <xf numFmtId="4" fontId="23" fillId="6" borderId="24" xfId="0" applyNumberFormat="1" applyFont="1" applyFill="1" applyBorder="1" applyAlignment="1">
      <alignment horizontal="right" vertical="top" shrinkToFit="1"/>
    </xf>
    <xf numFmtId="0" fontId="0" fillId="0" borderId="0" xfId="0" quotePrefix="1" applyAlignment="1">
      <alignment horizontal="left"/>
    </xf>
    <xf numFmtId="0" fontId="0" fillId="0" borderId="12" xfId="0" applyBorder="1"/>
    <xf numFmtId="0" fontId="2" fillId="0" borderId="18" xfId="4" quotePrefix="1" applyFont="1" applyBorder="1" applyAlignment="1">
      <alignment horizontal="left"/>
    </xf>
    <xf numFmtId="0" fontId="26" fillId="0" borderId="25" xfId="4" applyBorder="1"/>
    <xf numFmtId="2" fontId="26" fillId="0" borderId="25" xfId="4" applyNumberFormat="1" applyBorder="1"/>
    <xf numFmtId="0" fontId="26" fillId="0" borderId="25" xfId="4" applyBorder="1" applyAlignment="1">
      <alignment horizontal="center"/>
    </xf>
    <xf numFmtId="0" fontId="2" fillId="0" borderId="25" xfId="4" applyFont="1" applyBorder="1" applyAlignment="1">
      <alignment horizontal="center"/>
    </xf>
    <xf numFmtId="1" fontId="26" fillId="0" borderId="25" xfId="4" applyNumberFormat="1" applyBorder="1" applyAlignment="1">
      <alignment horizontal="center"/>
    </xf>
    <xf numFmtId="2" fontId="26" fillId="0" borderId="25" xfId="4" applyNumberFormat="1" applyBorder="1" applyAlignment="1">
      <alignment horizontal="center"/>
    </xf>
    <xf numFmtId="0" fontId="0" fillId="0" borderId="10" xfId="0" applyBorder="1"/>
    <xf numFmtId="0" fontId="27" fillId="0" borderId="0" xfId="0" applyFont="1"/>
    <xf numFmtId="0" fontId="31" fillId="0" borderId="0" xfId="0" applyFont="1"/>
    <xf numFmtId="0" fontId="1" fillId="0" borderId="0" xfId="0" quotePrefix="1" applyFont="1" applyAlignment="1">
      <alignment horizontal="left"/>
    </xf>
    <xf numFmtId="0" fontId="0" fillId="0" borderId="32" xfId="0" applyBorder="1"/>
    <xf numFmtId="2" fontId="0" fillId="0" borderId="33" xfId="0" applyNumberFormat="1" applyBorder="1"/>
    <xf numFmtId="0" fontId="27" fillId="0" borderId="10" xfId="0" applyFont="1" applyBorder="1"/>
    <xf numFmtId="164" fontId="0" fillId="0" borderId="33" xfId="0" applyNumberFormat="1" applyBorder="1"/>
    <xf numFmtId="0" fontId="0" fillId="0" borderId="25" xfId="0" applyBorder="1"/>
    <xf numFmtId="0" fontId="0" fillId="0" borderId="6" xfId="0" quotePrefix="1" applyBorder="1" applyAlignment="1">
      <alignment horizontal="left"/>
    </xf>
    <xf numFmtId="0" fontId="2" fillId="0" borderId="25" xfId="4" quotePrefix="1" applyFont="1" applyBorder="1" applyAlignment="1">
      <alignment horizontal="left"/>
    </xf>
    <xf numFmtId="2" fontId="2" fillId="0" borderId="18" xfId="4" applyNumberFormat="1" applyFont="1" applyBorder="1"/>
    <xf numFmtId="0" fontId="0" fillId="0" borderId="25" xfId="0" quotePrefix="1" applyBorder="1" applyAlignment="1">
      <alignment horizontal="left"/>
    </xf>
    <xf numFmtId="0" fontId="31" fillId="0" borderId="23" xfId="0" applyFont="1" applyBorder="1"/>
    <xf numFmtId="0" fontId="1" fillId="0" borderId="28" xfId="0" quotePrefix="1" applyFont="1" applyBorder="1"/>
    <xf numFmtId="4" fontId="0" fillId="0" borderId="12" xfId="0" applyNumberFormat="1" applyBorder="1"/>
    <xf numFmtId="0" fontId="22" fillId="6" borderId="24" xfId="0" quotePrefix="1" applyFont="1" applyFill="1" applyBorder="1" applyAlignment="1">
      <alignment horizontal="left" vertical="top" wrapText="1"/>
    </xf>
    <xf numFmtId="164" fontId="7" fillId="0" borderId="4" xfId="0" applyNumberFormat="1" applyFont="1" applyBorder="1" applyAlignment="1" applyProtection="1">
      <alignment horizontal="center"/>
      <protection hidden="1"/>
    </xf>
    <xf numFmtId="0" fontId="7" fillId="0" borderId="4" xfId="0" applyFont="1" applyBorder="1" applyAlignment="1" applyProtection="1">
      <alignment horizontal="center"/>
      <protection hidden="1"/>
    </xf>
    <xf numFmtId="1" fontId="6" fillId="2" borderId="4" xfId="0" applyNumberFormat="1" applyFont="1" applyFill="1" applyBorder="1" applyAlignment="1" applyProtection="1">
      <alignment horizontal="left" vertical="center" wrapText="1"/>
      <protection locked="0"/>
    </xf>
    <xf numFmtId="0" fontId="6" fillId="2" borderId="4" xfId="0" applyFont="1" applyFill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 applyProtection="1">
      <alignment horizontal="center"/>
      <protection locked="0"/>
    </xf>
    <xf numFmtId="0" fontId="8" fillId="3" borderId="4" xfId="0" applyFont="1" applyFill="1" applyBorder="1" applyAlignment="1" applyProtection="1">
      <alignment horizontal="left"/>
      <protection hidden="1"/>
    </xf>
    <xf numFmtId="0" fontId="13" fillId="5" borderId="15" xfId="0" applyFont="1" applyFill="1" applyBorder="1" applyAlignment="1" applyProtection="1">
      <alignment horizontal="center"/>
      <protection hidden="1"/>
    </xf>
    <xf numFmtId="0" fontId="13" fillId="5" borderId="16" xfId="0" applyFont="1" applyFill="1" applyBorder="1" applyAlignment="1" applyProtection="1">
      <alignment horizontal="center"/>
      <protection hidden="1"/>
    </xf>
    <xf numFmtId="0" fontId="24" fillId="6" borderId="14" xfId="0" applyFont="1" applyFill="1" applyBorder="1" applyAlignment="1">
      <alignment horizontal="center" vertical="top" wrapText="1"/>
    </xf>
    <xf numFmtId="0" fontId="25" fillId="6" borderId="14" xfId="0" applyFont="1" applyFill="1" applyBorder="1" applyAlignment="1">
      <alignment horizontal="left" vertical="top" wrapText="1"/>
    </xf>
    <xf numFmtId="0" fontId="23" fillId="6" borderId="14" xfId="0" applyFont="1" applyFill="1" applyBorder="1" applyAlignment="1">
      <alignment horizontal="left" vertical="top" wrapText="1"/>
    </xf>
    <xf numFmtId="0" fontId="1" fillId="9" borderId="37" xfId="0" quotePrefix="1" applyFont="1" applyFill="1" applyBorder="1" applyAlignment="1">
      <alignment horizontal="center"/>
    </xf>
    <xf numFmtId="0" fontId="1" fillId="0" borderId="31" xfId="0" quotePrefix="1" applyFont="1" applyBorder="1" applyAlignment="1">
      <alignment horizontal="center"/>
    </xf>
    <xf numFmtId="0" fontId="1" fillId="0" borderId="16" xfId="0" quotePrefix="1" applyFont="1" applyBorder="1" applyAlignment="1">
      <alignment horizontal="center"/>
    </xf>
    <xf numFmtId="0" fontId="31" fillId="0" borderId="19" xfId="4" applyFont="1" applyBorder="1" applyAlignment="1">
      <alignment horizontal="center"/>
    </xf>
    <xf numFmtId="0" fontId="31" fillId="0" borderId="20" xfId="4" applyFont="1" applyBorder="1" applyAlignment="1">
      <alignment horizontal="center"/>
    </xf>
    <xf numFmtId="0" fontId="31" fillId="0" borderId="38" xfId="4" applyFont="1" applyBorder="1" applyAlignment="1">
      <alignment horizontal="center"/>
    </xf>
    <xf numFmtId="0" fontId="31" fillId="0" borderId="28" xfId="0" applyFont="1" applyBorder="1" applyAlignment="1">
      <alignment horizontal="center"/>
    </xf>
    <xf numFmtId="0" fontId="31" fillId="0" borderId="30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7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33" xfId="0" applyBorder="1" applyAlignment="1">
      <alignment horizontal="center"/>
    </xf>
    <xf numFmtId="0" fontId="1" fillId="0" borderId="29" xfId="0" applyFont="1" applyBorder="1" applyAlignment="1">
      <alignment horizontal="center"/>
    </xf>
    <xf numFmtId="0" fontId="1" fillId="0" borderId="28" xfId="0" quotePrefix="1" applyFont="1" applyBorder="1" applyAlignment="1">
      <alignment horizontal="center"/>
    </xf>
    <xf numFmtId="0" fontId="1" fillId="0" borderId="29" xfId="0" quotePrefix="1" applyFont="1" applyBorder="1" applyAlignment="1">
      <alignment horizontal="center"/>
    </xf>
    <xf numFmtId="0" fontId="1" fillId="0" borderId="30" xfId="0" quotePrefix="1" applyFont="1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11" xfId="0" applyNumberFormat="1" applyBorder="1" applyAlignment="1">
      <alignment horizontal="center"/>
    </xf>
    <xf numFmtId="4" fontId="0" fillId="0" borderId="25" xfId="0" applyNumberFormat="1" applyBorder="1" applyAlignment="1">
      <alignment horizontal="center"/>
    </xf>
    <xf numFmtId="164" fontId="0" fillId="0" borderId="25" xfId="0" applyNumberFormat="1" applyBorder="1" applyAlignment="1">
      <alignment horizontal="center"/>
    </xf>
    <xf numFmtId="4" fontId="0" fillId="0" borderId="21" xfId="0" applyNumberFormat="1" applyBorder="1" applyAlignment="1">
      <alignment horizontal="center"/>
    </xf>
    <xf numFmtId="0" fontId="30" fillId="0" borderId="34" xfId="0" applyFont="1" applyBorder="1" applyAlignment="1">
      <alignment horizontal="center"/>
    </xf>
    <xf numFmtId="0" fontId="30" fillId="0" borderId="35" xfId="0" applyFont="1" applyBorder="1" applyAlignment="1">
      <alignment horizontal="center"/>
    </xf>
    <xf numFmtId="0" fontId="30" fillId="0" borderId="36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31" fillId="0" borderId="15" xfId="4" applyFont="1" applyBorder="1" applyAlignment="1">
      <alignment horizontal="center"/>
    </xf>
    <xf numFmtId="0" fontId="31" fillId="0" borderId="31" xfId="4" applyFont="1" applyBorder="1"/>
    <xf numFmtId="0" fontId="31" fillId="0" borderId="16" xfId="4" applyFont="1" applyBorder="1"/>
    <xf numFmtId="0" fontId="27" fillId="0" borderId="28" xfId="0" applyFont="1" applyBorder="1" applyAlignment="1">
      <alignment horizontal="center"/>
    </xf>
    <xf numFmtId="0" fontId="27" fillId="0" borderId="30" xfId="0" applyFont="1" applyBorder="1" applyAlignment="1">
      <alignment horizontal="center"/>
    </xf>
    <xf numFmtId="0" fontId="0" fillId="0" borderId="39" xfId="0" applyFill="1" applyBorder="1"/>
    <xf numFmtId="4" fontId="0" fillId="0" borderId="0" xfId="0" applyNumberFormat="1"/>
    <xf numFmtId="0" fontId="0" fillId="0" borderId="26" xfId="0" applyFill="1" applyBorder="1"/>
    <xf numFmtId="4" fontId="0" fillId="0" borderId="26" xfId="0" applyNumberFormat="1" applyBorder="1"/>
    <xf numFmtId="2" fontId="0" fillId="0" borderId="21" xfId="0" applyNumberFormat="1" applyBorder="1" applyAlignment="1">
      <alignment horizontal="center"/>
    </xf>
    <xf numFmtId="2" fontId="0" fillId="0" borderId="33" xfId="0" applyNumberFormat="1" applyBorder="1" applyAlignment="1">
      <alignment horizontal="center"/>
    </xf>
    <xf numFmtId="4" fontId="0" fillId="0" borderId="11" xfId="0" applyNumberFormat="1" applyBorder="1" applyAlignment="1">
      <alignment horizontal="center"/>
    </xf>
    <xf numFmtId="4" fontId="0" fillId="0" borderId="12" xfId="0" applyNumberFormat="1" applyBorder="1" applyAlignment="1">
      <alignment horizontal="center"/>
    </xf>
    <xf numFmtId="4" fontId="0" fillId="0" borderId="8" xfId="0" applyNumberFormat="1" applyBorder="1" applyAlignment="1">
      <alignment horizontal="center"/>
    </xf>
    <xf numFmtId="4" fontId="0" fillId="0" borderId="33" xfId="0" applyNumberFormat="1" applyBorder="1" applyAlignment="1">
      <alignment horizontal="center"/>
    </xf>
    <xf numFmtId="0" fontId="31" fillId="9" borderId="22" xfId="0" applyFont="1" applyFill="1" applyBorder="1"/>
    <xf numFmtId="1" fontId="7" fillId="2" borderId="26" xfId="0" applyNumberFormat="1" applyFont="1" applyFill="1" applyBorder="1" applyAlignment="1" applyProtection="1">
      <alignment horizontal="left" vertical="center" wrapText="1"/>
      <protection hidden="1"/>
    </xf>
    <xf numFmtId="0" fontId="7" fillId="2" borderId="26" xfId="0" applyFont="1" applyFill="1" applyBorder="1" applyAlignment="1" applyProtection="1">
      <alignment horizontal="left" vertical="center" wrapText="1"/>
      <protection hidden="1"/>
    </xf>
    <xf numFmtId="4" fontId="7" fillId="2" borderId="26" xfId="0" applyNumberFormat="1" applyFont="1" applyFill="1" applyBorder="1" applyAlignment="1" applyProtection="1">
      <alignment vertical="center" wrapText="1"/>
      <protection hidden="1"/>
    </xf>
    <xf numFmtId="4" fontId="8" fillId="2" borderId="26" xfId="0" applyNumberFormat="1" applyFont="1" applyFill="1" applyBorder="1" applyAlignment="1" applyProtection="1">
      <alignment vertical="center" wrapText="1"/>
      <protection hidden="1"/>
    </xf>
    <xf numFmtId="1" fontId="8" fillId="2" borderId="26" xfId="0" applyNumberFormat="1" applyFont="1" applyFill="1" applyBorder="1" applyAlignment="1" applyProtection="1">
      <alignment horizontal="left" vertical="center" wrapText="1"/>
      <protection hidden="1"/>
    </xf>
    <xf numFmtId="0" fontId="8" fillId="2" borderId="26" xfId="0" applyFont="1" applyFill="1" applyBorder="1" applyAlignment="1" applyProtection="1">
      <alignment horizontal="left" vertical="center" wrapText="1"/>
      <protection hidden="1"/>
    </xf>
    <xf numFmtId="4" fontId="17" fillId="0" borderId="26" xfId="0" applyNumberFormat="1" applyFont="1" applyBorder="1" applyProtection="1">
      <protection hidden="1"/>
    </xf>
    <xf numFmtId="4" fontId="17" fillId="0" borderId="26" xfId="0" applyNumberFormat="1" applyFont="1" applyBorder="1" applyAlignment="1" applyProtection="1">
      <alignment vertical="center"/>
      <protection hidden="1"/>
    </xf>
    <xf numFmtId="1" fontId="10" fillId="2" borderId="40" xfId="0" applyNumberFormat="1" applyFont="1" applyFill="1" applyBorder="1" applyAlignment="1" applyProtection="1">
      <alignment horizontal="left" vertical="center" wrapText="1"/>
      <protection hidden="1"/>
    </xf>
    <xf numFmtId="0" fontId="10" fillId="2" borderId="40" xfId="0" applyFont="1" applyFill="1" applyBorder="1" applyAlignment="1" applyProtection="1">
      <alignment horizontal="left" vertical="center" wrapText="1"/>
      <protection hidden="1"/>
    </xf>
    <xf numFmtId="4" fontId="10" fillId="2" borderId="40" xfId="0" applyNumberFormat="1" applyFont="1" applyFill="1" applyBorder="1" applyAlignment="1" applyProtection="1">
      <alignment vertical="center" wrapText="1"/>
      <protection hidden="1"/>
    </xf>
    <xf numFmtId="4" fontId="10" fillId="0" borderId="40" xfId="0" applyNumberFormat="1" applyFont="1" applyBorder="1" applyProtection="1">
      <protection hidden="1"/>
    </xf>
    <xf numFmtId="4" fontId="10" fillId="0" borderId="40" xfId="0" applyNumberFormat="1" applyFont="1" applyBorder="1" applyAlignment="1" applyProtection="1">
      <alignment vertical="center"/>
      <protection hidden="1"/>
    </xf>
    <xf numFmtId="1" fontId="12" fillId="3" borderId="26" xfId="0" applyNumberFormat="1" applyFont="1" applyFill="1" applyBorder="1" applyAlignment="1" applyProtection="1">
      <alignment horizontal="left"/>
      <protection hidden="1"/>
    </xf>
    <xf numFmtId="0" fontId="12" fillId="3" borderId="26" xfId="0" applyFont="1" applyFill="1" applyBorder="1" applyProtection="1">
      <protection hidden="1"/>
    </xf>
    <xf numFmtId="1" fontId="8" fillId="3" borderId="26" xfId="0" applyNumberFormat="1" applyFont="1" applyFill="1" applyBorder="1" applyAlignment="1" applyProtection="1">
      <alignment horizontal="left"/>
      <protection hidden="1"/>
    </xf>
    <xf numFmtId="0" fontId="8" fillId="3" borderId="26" xfId="0" applyFont="1" applyFill="1" applyBorder="1" applyProtection="1">
      <protection hidden="1"/>
    </xf>
    <xf numFmtId="4" fontId="8" fillId="0" borderId="26" xfId="0" applyNumberFormat="1" applyFont="1" applyBorder="1" applyProtection="1">
      <protection hidden="1"/>
    </xf>
    <xf numFmtId="1" fontId="7" fillId="3" borderId="26" xfId="0" applyNumberFormat="1" applyFont="1" applyFill="1" applyBorder="1" applyAlignment="1" applyProtection="1">
      <alignment horizontal="left"/>
      <protection hidden="1"/>
    </xf>
    <xf numFmtId="0" fontId="7" fillId="3" borderId="26" xfId="0" applyFont="1" applyFill="1" applyBorder="1" applyProtection="1">
      <protection hidden="1"/>
    </xf>
    <xf numFmtId="4" fontId="7" fillId="0" borderId="26" xfId="0" applyNumberFormat="1" applyFont="1" applyBorder="1" applyProtection="1">
      <protection hidden="1"/>
    </xf>
    <xf numFmtId="4" fontId="20" fillId="0" borderId="26" xfId="0" applyNumberFormat="1" applyFont="1" applyBorder="1" applyProtection="1">
      <protection hidden="1"/>
    </xf>
    <xf numFmtId="1" fontId="10" fillId="3" borderId="26" xfId="0" applyNumberFormat="1" applyFont="1" applyFill="1" applyBorder="1" applyAlignment="1" applyProtection="1">
      <alignment horizontal="left"/>
      <protection hidden="1"/>
    </xf>
    <xf numFmtId="0" fontId="10" fillId="3" borderId="26" xfId="0" applyFont="1" applyFill="1" applyBorder="1" applyProtection="1">
      <protection hidden="1"/>
    </xf>
    <xf numFmtId="1" fontId="15" fillId="3" borderId="26" xfId="0" applyNumberFormat="1" applyFont="1" applyFill="1" applyBorder="1" applyAlignment="1" applyProtection="1">
      <alignment horizontal="left"/>
      <protection hidden="1"/>
    </xf>
    <xf numFmtId="0" fontId="15" fillId="3" borderId="26" xfId="0" applyFont="1" applyFill="1" applyBorder="1" applyProtection="1">
      <protection hidden="1"/>
    </xf>
    <xf numFmtId="4" fontId="15" fillId="0" borderId="26" xfId="0" applyNumberFormat="1" applyFont="1" applyBorder="1" applyProtection="1">
      <protection hidden="1"/>
    </xf>
    <xf numFmtId="0" fontId="8" fillId="3" borderId="26" xfId="0" applyFont="1" applyFill="1" applyBorder="1" applyAlignment="1" applyProtection="1">
      <alignment horizontal="left"/>
      <protection hidden="1"/>
    </xf>
    <xf numFmtId="0" fontId="27" fillId="0" borderId="18" xfId="4" quotePrefix="1" applyFont="1" applyBorder="1" applyAlignment="1">
      <alignment horizontal="left"/>
    </xf>
    <xf numFmtId="0" fontId="27" fillId="0" borderId="11" xfId="4" applyFont="1" applyBorder="1" applyAlignment="1">
      <alignment horizontal="left"/>
    </xf>
    <xf numFmtId="4" fontId="31" fillId="0" borderId="18" xfId="4" applyNumberFormat="1" applyFont="1" applyBorder="1" applyAlignment="1">
      <alignment horizontal="center"/>
    </xf>
    <xf numFmtId="0" fontId="31" fillId="0" borderId="18" xfId="4" applyFont="1" applyBorder="1" applyAlignment="1">
      <alignment horizontal="center"/>
    </xf>
    <xf numFmtId="0" fontId="31" fillId="0" borderId="25" xfId="4" applyFont="1" applyBorder="1" applyAlignment="1">
      <alignment horizontal="center"/>
    </xf>
    <xf numFmtId="0" fontId="31" fillId="0" borderId="41" xfId="4" applyFont="1" applyBorder="1" applyAlignment="1">
      <alignment horizontal="center"/>
    </xf>
    <xf numFmtId="0" fontId="31" fillId="0" borderId="42" xfId="4" applyFont="1" applyBorder="1" applyAlignment="1">
      <alignment horizontal="center"/>
    </xf>
    <xf numFmtId="0" fontId="31" fillId="0" borderId="42" xfId="4" applyFont="1" applyBorder="1"/>
    <xf numFmtId="0" fontId="2" fillId="0" borderId="43" xfId="4" applyFont="1" applyBorder="1" applyAlignment="1">
      <alignment horizontal="center"/>
    </xf>
    <xf numFmtId="0" fontId="2" fillId="0" borderId="0" xfId="4" applyFont="1" applyBorder="1" applyAlignment="1">
      <alignment horizontal="center"/>
    </xf>
    <xf numFmtId="0" fontId="2" fillId="0" borderId="0" xfId="4" applyFont="1" applyBorder="1"/>
    <xf numFmtId="0" fontId="2" fillId="0" borderId="44" xfId="4" applyFont="1" applyBorder="1" applyAlignment="1">
      <alignment horizontal="center"/>
    </xf>
    <xf numFmtId="0" fontId="2" fillId="0" borderId="45" xfId="4" applyFont="1" applyBorder="1" applyAlignment="1">
      <alignment horizontal="center"/>
    </xf>
    <xf numFmtId="0" fontId="2" fillId="0" borderId="45" xfId="4" applyFont="1" applyBorder="1"/>
    <xf numFmtId="4" fontId="27" fillId="0" borderId="11" xfId="4" applyNumberFormat="1" applyFont="1" applyBorder="1" applyAlignment="1">
      <alignment horizontal="right"/>
    </xf>
    <xf numFmtId="4" fontId="27" fillId="0" borderId="18" xfId="4" applyNumberFormat="1" applyFont="1" applyBorder="1" applyAlignment="1">
      <alignment horizontal="right"/>
    </xf>
    <xf numFmtId="2" fontId="32" fillId="0" borderId="18" xfId="4" applyNumberFormat="1" applyFont="1" applyBorder="1"/>
  </cellXfs>
  <cellStyles count="5">
    <cellStyle name="Normal" xfId="0" builtinId="0"/>
    <cellStyle name="Normal 2" xfId="1" xr:uid="{85F15CD3-46AB-4349-BEBF-1A939164D930}"/>
    <cellStyle name="Normal 3" xfId="2" xr:uid="{3201A250-4B85-40DB-919F-8DD5088CE060}"/>
    <cellStyle name="Normal 4" xfId="3" xr:uid="{1F76A044-6778-477F-843E-F0AC3EB609B3}"/>
    <cellStyle name="Normal 5" xfId="4" xr:uid="{EA6B13CD-6EEB-4A05-B3D9-8DBF081B4E22}"/>
  </cellStyles>
  <dxfs count="4">
    <dxf>
      <font>
        <b/>
        <i val="0"/>
      </font>
      <fill>
        <patternFill>
          <bgColor rgb="FF92D050"/>
        </patternFill>
      </fill>
    </dxf>
    <dxf>
      <font>
        <b/>
        <i val="0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20</xdr:col>
      <xdr:colOff>476249</xdr:colOff>
      <xdr:row>34</xdr:row>
      <xdr:rowOff>76199</xdr:rowOff>
    </xdr:to>
    <xdr:pic>
      <xdr:nvPicPr>
        <xdr:cNvPr id="7" name="Resim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12868274" cy="655319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533400</xdr:colOff>
          <xdr:row>12</xdr:row>
          <xdr:rowOff>9525</xdr:rowOff>
        </xdr:from>
        <xdr:to>
          <xdr:col>4</xdr:col>
          <xdr:colOff>457200</xdr:colOff>
          <xdr:row>15</xdr:row>
          <xdr:rowOff>123825</xdr:rowOff>
        </xdr:to>
        <xdr:sp macro="" textlink="">
          <xdr:nvSpPr>
            <xdr:cNvPr id="3090" name="cmd_maliraporyazdir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0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542925</xdr:colOff>
          <xdr:row>6</xdr:row>
          <xdr:rowOff>152400</xdr:rowOff>
        </xdr:from>
        <xdr:to>
          <xdr:col>4</xdr:col>
          <xdr:colOff>466725</xdr:colOff>
          <xdr:row>10</xdr:row>
          <xdr:rowOff>76200</xdr:rowOff>
        </xdr:to>
        <xdr:sp macro="" textlink="">
          <xdr:nvSpPr>
            <xdr:cNvPr id="3091" name="cmd_checkupyazdir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542925</xdr:colOff>
          <xdr:row>17</xdr:row>
          <xdr:rowOff>28575</xdr:rowOff>
        </xdr:from>
        <xdr:to>
          <xdr:col>4</xdr:col>
          <xdr:colOff>457200</xdr:colOff>
          <xdr:row>21</xdr:row>
          <xdr:rowOff>0</xdr:rowOff>
        </xdr:to>
        <xdr:sp macro="" textlink="">
          <xdr:nvSpPr>
            <xdr:cNvPr id="3094" name="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0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tr-TR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MİZAN OLUŞTUR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571500</xdr:colOff>
          <xdr:row>1</xdr:row>
          <xdr:rowOff>142875</xdr:rowOff>
        </xdr:from>
        <xdr:to>
          <xdr:col>4</xdr:col>
          <xdr:colOff>438150</xdr:colOff>
          <xdr:row>5</xdr:row>
          <xdr:rowOff>38100</xdr:rowOff>
        </xdr:to>
        <xdr:sp macro="" textlink="">
          <xdr:nvSpPr>
            <xdr:cNvPr id="3096" name="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0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tr-T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MİZAN YÜKLE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1</xdr:row>
          <xdr:rowOff>152400</xdr:rowOff>
        </xdr:from>
        <xdr:to>
          <xdr:col>9</xdr:col>
          <xdr:colOff>152400</xdr:colOff>
          <xdr:row>5</xdr:row>
          <xdr:rowOff>66675</xdr:rowOff>
        </xdr:to>
        <xdr:sp macro="" textlink="">
          <xdr:nvSpPr>
            <xdr:cNvPr id="3102" name="Btn_rasyohesapla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0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228600</xdr:colOff>
          <xdr:row>6</xdr:row>
          <xdr:rowOff>152400</xdr:rowOff>
        </xdr:from>
        <xdr:to>
          <xdr:col>9</xdr:col>
          <xdr:colOff>171450</xdr:colOff>
          <xdr:row>10</xdr:row>
          <xdr:rowOff>57150</xdr:rowOff>
        </xdr:to>
        <xdr:sp macro="" textlink="">
          <xdr:nvSpPr>
            <xdr:cNvPr id="3104" name="Btn_AltmanZ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0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12</xdr:row>
          <xdr:rowOff>0</xdr:rowOff>
        </xdr:from>
        <xdr:to>
          <xdr:col>9</xdr:col>
          <xdr:colOff>180975</xdr:colOff>
          <xdr:row>15</xdr:row>
          <xdr:rowOff>95250</xdr:rowOff>
        </xdr:to>
        <xdr:sp macro="" textlink="">
          <xdr:nvSpPr>
            <xdr:cNvPr id="3105" name="Btn_FinansalRisk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0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2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71231F-18DE-4BF4-A020-7080F9C4D14A}">
  <sheetPr codeName="Sayfa3"/>
  <dimension ref="A1:T23"/>
  <sheetViews>
    <sheetView showGridLines="0" showRowColHeaders="0" workbookViewId="0">
      <selection activeCell="C7" sqref="C7"/>
    </sheetView>
  </sheetViews>
  <sheetFormatPr defaultRowHeight="15" x14ac:dyDescent="0.25"/>
  <cols>
    <col min="20" max="20" width="12.140625" customWidth="1"/>
  </cols>
  <sheetData>
    <row r="1" spans="1:20" x14ac:dyDescent="0.25">
      <c r="A1" s="74"/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</row>
    <row r="2" spans="1:20" x14ac:dyDescent="0.25">
      <c r="A2" s="74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</row>
    <row r="3" spans="1:20" x14ac:dyDescent="0.25">
      <c r="A3" s="74"/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</row>
    <row r="4" spans="1:20" x14ac:dyDescent="0.25">
      <c r="A4" s="74"/>
      <c r="B4" s="74"/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</row>
    <row r="5" spans="1:20" x14ac:dyDescent="0.25">
      <c r="A5" s="74"/>
      <c r="B5" s="74"/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</row>
    <row r="6" spans="1:20" x14ac:dyDescent="0.25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</row>
    <row r="7" spans="1:20" x14ac:dyDescent="0.25">
      <c r="A7" s="74"/>
      <c r="B7" s="74"/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</row>
    <row r="8" spans="1:20" x14ac:dyDescent="0.25">
      <c r="A8" s="74"/>
      <c r="B8" s="74"/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</row>
    <row r="9" spans="1:20" x14ac:dyDescent="0.25">
      <c r="A9" s="74"/>
      <c r="B9" s="74"/>
      <c r="C9" s="74"/>
      <c r="D9" s="74"/>
      <c r="E9" s="74"/>
      <c r="F9" s="74"/>
      <c r="G9" s="74"/>
      <c r="H9" s="74"/>
      <c r="I9" s="74"/>
      <c r="J9" s="74"/>
      <c r="K9" s="74"/>
      <c r="L9" s="74"/>
      <c r="M9" s="74"/>
      <c r="N9" s="74"/>
      <c r="O9" s="74"/>
      <c r="P9" s="74"/>
      <c r="Q9" s="74"/>
      <c r="R9" s="74"/>
      <c r="S9" s="74"/>
      <c r="T9" s="74"/>
    </row>
    <row r="10" spans="1:20" x14ac:dyDescent="0.25">
      <c r="A10" s="74"/>
      <c r="B10" s="74"/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74"/>
      <c r="P10" s="74"/>
      <c r="Q10" s="74"/>
      <c r="R10" s="74"/>
      <c r="S10" s="74"/>
      <c r="T10" s="74"/>
    </row>
    <row r="11" spans="1:20" x14ac:dyDescent="0.25">
      <c r="A11" s="74"/>
      <c r="B11" s="74"/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74"/>
      <c r="P11" s="74"/>
      <c r="Q11" s="74"/>
      <c r="R11" s="74"/>
      <c r="S11" s="74"/>
      <c r="T11" s="74"/>
    </row>
    <row r="12" spans="1:20" x14ac:dyDescent="0.25">
      <c r="A12" s="74"/>
      <c r="B12" s="74"/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74"/>
      <c r="P12" s="74"/>
      <c r="Q12" s="74"/>
      <c r="R12" s="74"/>
      <c r="S12" s="74"/>
      <c r="T12" s="74"/>
    </row>
    <row r="13" spans="1:20" x14ac:dyDescent="0.25">
      <c r="A13" s="74"/>
      <c r="B13" s="74"/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74"/>
      <c r="P13" s="74"/>
      <c r="Q13" s="74"/>
      <c r="R13" s="74"/>
      <c r="S13" s="74"/>
      <c r="T13" s="74"/>
    </row>
    <row r="14" spans="1:20" x14ac:dyDescent="0.25">
      <c r="A14" s="74"/>
      <c r="B14" s="74"/>
      <c r="C14" s="74"/>
      <c r="D14" s="74"/>
      <c r="E14" s="74"/>
      <c r="G14" s="74"/>
      <c r="H14" s="74"/>
      <c r="I14" s="74"/>
      <c r="J14" s="74"/>
      <c r="K14" s="74"/>
      <c r="L14" s="74"/>
      <c r="M14" s="74"/>
      <c r="N14" s="74"/>
      <c r="O14" s="74"/>
      <c r="P14" s="74"/>
      <c r="Q14" s="74"/>
      <c r="R14" s="74"/>
      <c r="S14" s="74"/>
      <c r="T14" s="74"/>
    </row>
    <row r="15" spans="1:20" x14ac:dyDescent="0.25">
      <c r="A15" s="74"/>
      <c r="B15" s="74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74"/>
      <c r="P15" s="74"/>
      <c r="Q15" s="74"/>
      <c r="R15" s="74"/>
      <c r="S15" s="74"/>
      <c r="T15" s="74"/>
    </row>
    <row r="16" spans="1:20" x14ac:dyDescent="0.25">
      <c r="A16" s="74"/>
      <c r="B16" s="74"/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74"/>
      <c r="P16" s="74"/>
      <c r="Q16" s="74"/>
      <c r="R16" s="74"/>
      <c r="S16" s="74"/>
      <c r="T16" s="74"/>
    </row>
    <row r="17" spans="1:20" x14ac:dyDescent="0.25">
      <c r="A17" s="74"/>
      <c r="B17" s="74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74"/>
      <c r="P17" s="74"/>
      <c r="Q17" s="74"/>
      <c r="R17" s="74"/>
      <c r="S17" s="74"/>
      <c r="T17" s="74"/>
    </row>
    <row r="18" spans="1:20" x14ac:dyDescent="0.25">
      <c r="A18" s="74"/>
      <c r="B18" s="7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74"/>
      <c r="P18" s="74"/>
      <c r="Q18" s="74"/>
      <c r="R18" s="74"/>
      <c r="S18" s="74"/>
      <c r="T18" s="74"/>
    </row>
    <row r="19" spans="1:20" x14ac:dyDescent="0.25">
      <c r="A19" s="74"/>
      <c r="B19" s="7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74"/>
      <c r="P19" s="74"/>
      <c r="Q19" s="74"/>
      <c r="R19" s="74"/>
      <c r="S19" s="74"/>
      <c r="T19" s="74"/>
    </row>
    <row r="20" spans="1:20" x14ac:dyDescent="0.25">
      <c r="A20" s="74"/>
      <c r="B20" s="74"/>
      <c r="C20" s="74"/>
      <c r="D20" s="74"/>
      <c r="E20" s="74"/>
      <c r="F20" s="74" t="s">
        <v>272</v>
      </c>
      <c r="G20" s="74"/>
      <c r="H20" s="74"/>
      <c r="I20" s="74"/>
      <c r="J20" s="74"/>
      <c r="K20" s="74"/>
      <c r="L20" s="74"/>
      <c r="M20" s="74"/>
      <c r="N20" s="74"/>
      <c r="O20" s="74"/>
      <c r="P20" s="74"/>
      <c r="Q20" s="74"/>
      <c r="R20" s="74"/>
      <c r="S20" s="74"/>
      <c r="T20" s="74"/>
    </row>
    <row r="21" spans="1:20" x14ac:dyDescent="0.25">
      <c r="A21" s="74"/>
      <c r="B21" s="74"/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74"/>
      <c r="P21" s="74"/>
      <c r="Q21" s="74"/>
      <c r="R21" s="74"/>
      <c r="S21" s="74"/>
      <c r="T21" s="74"/>
    </row>
    <row r="22" spans="1:20" x14ac:dyDescent="0.25">
      <c r="A22" s="74"/>
      <c r="B22" s="74"/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74"/>
      <c r="P22" s="74"/>
      <c r="Q22" s="74"/>
      <c r="R22" s="74"/>
      <c r="S22" s="74"/>
      <c r="T22" s="74"/>
    </row>
    <row r="23" spans="1:20" x14ac:dyDescent="0.25">
      <c r="A23" s="74"/>
      <c r="B23" s="74"/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74"/>
      <c r="P23" s="74"/>
      <c r="Q23" s="74"/>
      <c r="R23" s="74"/>
      <c r="S23" s="74"/>
      <c r="T23" s="74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91" r:id="rId4" name="cmd_checkupyazdir">
          <controlPr defaultSize="0" autoLine="0" r:id="rId5">
            <anchor moveWithCells="1">
              <from>
                <xdr:col>0</xdr:col>
                <xdr:colOff>542925</xdr:colOff>
                <xdr:row>6</xdr:row>
                <xdr:rowOff>152400</xdr:rowOff>
              </from>
              <to>
                <xdr:col>4</xdr:col>
                <xdr:colOff>466725</xdr:colOff>
                <xdr:row>10</xdr:row>
                <xdr:rowOff>76200</xdr:rowOff>
              </to>
            </anchor>
          </controlPr>
        </control>
      </mc:Choice>
      <mc:Fallback>
        <control shapeId="3091" r:id="rId4" name="cmd_checkupyazdir"/>
      </mc:Fallback>
    </mc:AlternateContent>
    <mc:AlternateContent xmlns:mc="http://schemas.openxmlformats.org/markup-compatibility/2006">
      <mc:Choice Requires="x14">
        <control shapeId="3090" r:id="rId6" name="cmd_maliraporyazdir">
          <controlPr defaultSize="0" autoLine="0" r:id="rId7">
            <anchor moveWithCells="1">
              <from>
                <xdr:col>0</xdr:col>
                <xdr:colOff>533400</xdr:colOff>
                <xdr:row>12</xdr:row>
                <xdr:rowOff>9525</xdr:rowOff>
              </from>
              <to>
                <xdr:col>4</xdr:col>
                <xdr:colOff>457200</xdr:colOff>
                <xdr:row>15</xdr:row>
                <xdr:rowOff>123825</xdr:rowOff>
              </to>
            </anchor>
          </controlPr>
        </control>
      </mc:Choice>
      <mc:Fallback>
        <control shapeId="3090" r:id="rId6" name="cmd_maliraporyazdir"/>
      </mc:Fallback>
    </mc:AlternateContent>
    <mc:AlternateContent xmlns:mc="http://schemas.openxmlformats.org/markup-compatibility/2006">
      <mc:Choice Requires="x14">
        <control shapeId="3102" r:id="rId8" name="Btn_rasyohesapla">
          <controlPr defaultSize="0" autoLine="0" autoPict="0" r:id="rId9">
            <anchor moveWithCells="1">
              <from>
                <xdr:col>5</xdr:col>
                <xdr:colOff>228600</xdr:colOff>
                <xdr:row>1</xdr:row>
                <xdr:rowOff>152400</xdr:rowOff>
              </from>
              <to>
                <xdr:col>9</xdr:col>
                <xdr:colOff>152400</xdr:colOff>
                <xdr:row>5</xdr:row>
                <xdr:rowOff>66675</xdr:rowOff>
              </to>
            </anchor>
          </controlPr>
        </control>
      </mc:Choice>
      <mc:Fallback>
        <control shapeId="3102" r:id="rId8" name="Btn_rasyohesapla"/>
      </mc:Fallback>
    </mc:AlternateContent>
    <mc:AlternateContent xmlns:mc="http://schemas.openxmlformats.org/markup-compatibility/2006">
      <mc:Choice Requires="x14">
        <control shapeId="3104" r:id="rId10" name="Btn_AltmanZ">
          <controlPr defaultSize="0" autoLine="0" autoPict="0" r:id="rId11">
            <anchor moveWithCells="1">
              <from>
                <xdr:col>5</xdr:col>
                <xdr:colOff>228600</xdr:colOff>
                <xdr:row>6</xdr:row>
                <xdr:rowOff>152400</xdr:rowOff>
              </from>
              <to>
                <xdr:col>9</xdr:col>
                <xdr:colOff>171450</xdr:colOff>
                <xdr:row>10</xdr:row>
                <xdr:rowOff>57150</xdr:rowOff>
              </to>
            </anchor>
          </controlPr>
        </control>
      </mc:Choice>
      <mc:Fallback>
        <control shapeId="3104" r:id="rId10" name="Btn_AltmanZ"/>
      </mc:Fallback>
    </mc:AlternateContent>
    <mc:AlternateContent xmlns:mc="http://schemas.openxmlformats.org/markup-compatibility/2006">
      <mc:Choice Requires="x14">
        <control shapeId="3105" r:id="rId12" name="Btn_FinansalRisk">
          <controlPr defaultSize="0" autoLine="0" r:id="rId13">
            <anchor moveWithCells="1">
              <from>
                <xdr:col>5</xdr:col>
                <xdr:colOff>238125</xdr:colOff>
                <xdr:row>12</xdr:row>
                <xdr:rowOff>0</xdr:rowOff>
              </from>
              <to>
                <xdr:col>9</xdr:col>
                <xdr:colOff>180975</xdr:colOff>
                <xdr:row>15</xdr:row>
                <xdr:rowOff>95250</xdr:rowOff>
              </to>
            </anchor>
          </controlPr>
        </control>
      </mc:Choice>
      <mc:Fallback>
        <control shapeId="3105" r:id="rId12" name="Btn_FinansalRisk"/>
      </mc:Fallback>
    </mc:AlternateContent>
    <mc:AlternateContent xmlns:mc="http://schemas.openxmlformats.org/markup-compatibility/2006">
      <mc:Choice Requires="x14">
        <control shapeId="3094" r:id="rId14" name="Button 22">
          <controlPr defaultSize="0" print="0" autoFill="0" autoPict="0" macro="[0]!Sayfa3.MizanOlustur">
            <anchor moveWithCells="1" sizeWithCells="1">
              <from>
                <xdr:col>0</xdr:col>
                <xdr:colOff>542925</xdr:colOff>
                <xdr:row>17</xdr:row>
                <xdr:rowOff>28575</xdr:rowOff>
              </from>
              <to>
                <xdr:col>4</xdr:col>
                <xdr:colOff>457200</xdr:colOff>
                <xdr:row>21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3096" r:id="rId15" name="Button 24">
          <controlPr defaultSize="0" print="0" autoFill="0" autoPict="0" macro="[0]!mizanyukle">
            <anchor moveWithCells="1" sizeWithCells="1">
              <from>
                <xdr:col>0</xdr:col>
                <xdr:colOff>571500</xdr:colOff>
                <xdr:row>1</xdr:row>
                <xdr:rowOff>142875</xdr:rowOff>
              </from>
              <to>
                <xdr:col>4</xdr:col>
                <xdr:colOff>438150</xdr:colOff>
                <xdr:row>5</xdr:row>
                <xdr:rowOff>38100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D8B3B-8C3E-4B45-8233-9E66023BD7ED}">
  <dimension ref="A1"/>
  <sheetViews>
    <sheetView workbookViewId="0">
      <selection activeCell="F15" sqref="F15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167A52-CE56-4FA2-BFBC-A5EAB211B965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1304A-AC13-47AC-8930-41E43AFDA971}">
  <sheetPr codeName="Sayfa1"/>
  <dimension ref="A2:F163"/>
  <sheetViews>
    <sheetView topLeftCell="A17" workbookViewId="0">
      <selection activeCell="E49" sqref="E49"/>
    </sheetView>
  </sheetViews>
  <sheetFormatPr defaultRowHeight="15" x14ac:dyDescent="0.25"/>
  <cols>
    <col min="1" max="1" width="16.85546875" customWidth="1"/>
    <col min="2" max="2" width="61.5703125" customWidth="1"/>
    <col min="3" max="3" width="17.85546875" customWidth="1"/>
    <col min="4" max="4" width="18" customWidth="1"/>
    <col min="5" max="5" width="17" customWidth="1"/>
    <col min="6" max="6" width="15.28515625" customWidth="1"/>
  </cols>
  <sheetData>
    <row r="2" spans="1:6" ht="15.75" customHeight="1" x14ac:dyDescent="0.25">
      <c r="A2" s="85">
        <v>100</v>
      </c>
      <c r="B2" s="85" t="s">
        <v>219</v>
      </c>
      <c r="C2" s="86">
        <v>1012345.15</v>
      </c>
      <c r="D2" s="86">
        <v>684924.61</v>
      </c>
      <c r="E2" s="86">
        <v>327420.53999999998</v>
      </c>
      <c r="F2" s="86"/>
    </row>
    <row r="3" spans="1:6" ht="15.75" customHeight="1" x14ac:dyDescent="0.25">
      <c r="A3" s="85">
        <v>101</v>
      </c>
      <c r="B3" s="85" t="s">
        <v>11</v>
      </c>
      <c r="C3" s="86">
        <v>19872541.879999999</v>
      </c>
      <c r="D3" s="86">
        <v>18961126.84</v>
      </c>
      <c r="E3" s="86">
        <v>911415.03999999911</v>
      </c>
      <c r="F3" s="90"/>
    </row>
    <row r="4" spans="1:6" ht="15.75" customHeight="1" x14ac:dyDescent="0.25">
      <c r="A4" s="85">
        <v>102</v>
      </c>
      <c r="B4" s="85" t="s">
        <v>10</v>
      </c>
      <c r="C4" s="86">
        <v>2996762.38</v>
      </c>
      <c r="D4" s="86">
        <v>2892547.51</v>
      </c>
      <c r="E4" s="86">
        <v>104214.87000000011</v>
      </c>
      <c r="F4" s="86"/>
    </row>
    <row r="5" spans="1:6" ht="15.75" customHeight="1" x14ac:dyDescent="0.25">
      <c r="A5" s="85">
        <v>120</v>
      </c>
      <c r="B5" s="85" t="s">
        <v>15</v>
      </c>
      <c r="C5" s="86">
        <v>25480580.280000001</v>
      </c>
      <c r="D5" s="86">
        <v>25284160.129999999</v>
      </c>
      <c r="E5" s="86">
        <v>196420.15000000224</v>
      </c>
      <c r="F5" s="86"/>
    </row>
    <row r="6" spans="1:6" ht="15.75" customHeight="1" x14ac:dyDescent="0.25">
      <c r="A6" s="85">
        <v>153</v>
      </c>
      <c r="B6" s="85" t="s">
        <v>37</v>
      </c>
      <c r="C6" s="86">
        <v>19379517.920000002</v>
      </c>
      <c r="D6" s="86">
        <v>15597107.67</v>
      </c>
      <c r="E6" s="86">
        <v>3782410.2500000019</v>
      </c>
      <c r="F6" s="86"/>
    </row>
    <row r="7" spans="1:6" ht="15.75" customHeight="1" x14ac:dyDescent="0.25">
      <c r="A7" s="85">
        <v>190</v>
      </c>
      <c r="B7" s="85" t="s">
        <v>286</v>
      </c>
      <c r="C7" s="86">
        <v>4384972.3499999996</v>
      </c>
      <c r="D7" s="86">
        <v>4321242.66</v>
      </c>
      <c r="E7" s="86">
        <v>63729.69</v>
      </c>
      <c r="F7" s="86"/>
    </row>
    <row r="8" spans="1:6" ht="15.75" customHeight="1" x14ac:dyDescent="0.25">
      <c r="A8" s="85">
        <v>191</v>
      </c>
      <c r="B8" s="85" t="s">
        <v>287</v>
      </c>
      <c r="C8" s="86">
        <v>4321242.66</v>
      </c>
      <c r="D8" s="86">
        <v>4321242.66</v>
      </c>
      <c r="E8" s="86"/>
      <c r="F8" s="86"/>
    </row>
    <row r="9" spans="1:6" ht="15.75" customHeight="1" x14ac:dyDescent="0.25">
      <c r="A9" s="85">
        <v>253</v>
      </c>
      <c r="B9" s="85" t="s">
        <v>288</v>
      </c>
      <c r="C9" s="86">
        <v>6775757.3099999996</v>
      </c>
      <c r="D9" s="86">
        <v>3191385.12</v>
      </c>
      <c r="E9" s="86">
        <v>3584372.1899999995</v>
      </c>
      <c r="F9" s="86"/>
    </row>
    <row r="10" spans="1:6" ht="15.75" customHeight="1" x14ac:dyDescent="0.25">
      <c r="A10" s="85">
        <v>254</v>
      </c>
      <c r="B10" s="85" t="s">
        <v>59</v>
      </c>
      <c r="C10" s="86">
        <v>112070.92</v>
      </c>
      <c r="D10" s="86">
        <v>52785.46</v>
      </c>
      <c r="E10" s="86">
        <v>59285.46</v>
      </c>
      <c r="F10" s="86"/>
    </row>
    <row r="11" spans="1:6" ht="15.75" customHeight="1" x14ac:dyDescent="0.25">
      <c r="A11" s="85">
        <v>280</v>
      </c>
      <c r="B11" s="85" t="s">
        <v>75</v>
      </c>
      <c r="C11" s="86">
        <v>834570.07</v>
      </c>
      <c r="D11" s="86">
        <v>198667.63</v>
      </c>
      <c r="E11" s="86">
        <v>635902.43999999994</v>
      </c>
      <c r="F11" s="86"/>
    </row>
    <row r="12" spans="1:6" ht="15.75" customHeight="1" x14ac:dyDescent="0.25">
      <c r="A12" s="85">
        <v>320</v>
      </c>
      <c r="B12" s="85" t="s">
        <v>88</v>
      </c>
      <c r="C12" s="86">
        <v>22187103.449999999</v>
      </c>
      <c r="D12" s="86">
        <v>23255421.5</v>
      </c>
      <c r="E12" s="86"/>
      <c r="F12" s="86">
        <v>1068318.0500000007</v>
      </c>
    </row>
    <row r="13" spans="1:6" ht="15.75" customHeight="1" x14ac:dyDescent="0.25">
      <c r="A13" s="85">
        <v>331</v>
      </c>
      <c r="B13" s="85" t="s">
        <v>96</v>
      </c>
      <c r="C13" s="86">
        <v>7063206.7699999996</v>
      </c>
      <c r="D13" s="86">
        <v>7063206.7699999996</v>
      </c>
      <c r="E13" s="86"/>
      <c r="F13" s="86"/>
    </row>
    <row r="14" spans="1:6" ht="15.75" customHeight="1" x14ac:dyDescent="0.25">
      <c r="A14" s="85">
        <v>335</v>
      </c>
      <c r="B14" s="85" t="s">
        <v>99</v>
      </c>
      <c r="C14" s="86">
        <v>72325.13</v>
      </c>
      <c r="D14" s="86">
        <v>72325.13</v>
      </c>
      <c r="E14" s="86"/>
      <c r="F14" s="86"/>
    </row>
    <row r="15" spans="1:6" ht="15.75" customHeight="1" x14ac:dyDescent="0.25">
      <c r="A15" s="85">
        <v>360</v>
      </c>
      <c r="B15" s="85" t="s">
        <v>246</v>
      </c>
      <c r="C15" s="86"/>
      <c r="D15" s="86">
        <v>37166.229999999996</v>
      </c>
      <c r="E15" s="86"/>
      <c r="F15" s="86">
        <v>37166.229999999996</v>
      </c>
    </row>
    <row r="16" spans="1:6" ht="15.75" customHeight="1" x14ac:dyDescent="0.25">
      <c r="A16" s="85">
        <v>361</v>
      </c>
      <c r="B16" s="85" t="s">
        <v>290</v>
      </c>
      <c r="C16" s="86">
        <v>1059.3399999999999</v>
      </c>
      <c r="D16" s="86">
        <v>48343.96</v>
      </c>
      <c r="E16" s="86"/>
      <c r="F16" s="86">
        <v>47284.62</v>
      </c>
    </row>
    <row r="17" spans="1:6" ht="15.75" customHeight="1" x14ac:dyDescent="0.25">
      <c r="A17" s="85">
        <v>370</v>
      </c>
      <c r="B17" s="85" t="s">
        <v>289</v>
      </c>
      <c r="C17" s="86">
        <v>2541.81</v>
      </c>
      <c r="D17" s="86">
        <v>100485.38</v>
      </c>
      <c r="E17" s="86"/>
      <c r="F17" s="86">
        <v>97943.57</v>
      </c>
    </row>
    <row r="18" spans="1:6" ht="15.75" customHeight="1" x14ac:dyDescent="0.25">
      <c r="A18" s="85">
        <v>371</v>
      </c>
      <c r="B18" s="85" t="s">
        <v>366</v>
      </c>
      <c r="C18" s="86">
        <v>2848.61</v>
      </c>
      <c r="D18" s="86">
        <v>2848.61</v>
      </c>
      <c r="E18" s="86"/>
      <c r="F18" s="86"/>
    </row>
    <row r="19" spans="1:6" ht="15.75" customHeight="1" x14ac:dyDescent="0.25">
      <c r="A19" s="85">
        <v>391</v>
      </c>
      <c r="B19" s="85" t="s">
        <v>117</v>
      </c>
      <c r="C19" s="86">
        <v>4257512.97</v>
      </c>
      <c r="D19" s="86">
        <v>4257512.97</v>
      </c>
      <c r="E19" s="86"/>
      <c r="F19" s="86"/>
    </row>
    <row r="20" spans="1:6" ht="15.75" customHeight="1" x14ac:dyDescent="0.25">
      <c r="A20" s="85">
        <v>500</v>
      </c>
      <c r="B20" s="85" t="s">
        <v>129</v>
      </c>
      <c r="C20" s="86"/>
      <c r="D20" s="86">
        <v>100000</v>
      </c>
      <c r="E20" s="86"/>
      <c r="F20" s="86">
        <v>100000</v>
      </c>
    </row>
    <row r="21" spans="1:6" ht="15.75" customHeight="1" x14ac:dyDescent="0.25">
      <c r="A21" s="85">
        <v>502</v>
      </c>
      <c r="B21" s="85" t="s">
        <v>253</v>
      </c>
      <c r="C21" s="86"/>
      <c r="D21" s="86">
        <v>887105</v>
      </c>
      <c r="E21" s="86"/>
      <c r="F21" s="86">
        <v>887105</v>
      </c>
    </row>
    <row r="22" spans="1:6" ht="15.75" customHeight="1" x14ac:dyDescent="0.25">
      <c r="A22" s="85">
        <v>529</v>
      </c>
      <c r="B22" s="116" t="s">
        <v>131</v>
      </c>
      <c r="C22" s="90"/>
      <c r="D22" s="86">
        <v>6650000</v>
      </c>
      <c r="E22" s="86"/>
      <c r="F22" s="86">
        <v>6650000</v>
      </c>
    </row>
    <row r="23" spans="1:6" ht="15.75" customHeight="1" x14ac:dyDescent="0.25">
      <c r="A23" s="85">
        <v>570</v>
      </c>
      <c r="B23" s="85" t="s">
        <v>145</v>
      </c>
      <c r="C23" s="86">
        <v>43709.86</v>
      </c>
      <c r="D23" s="86">
        <v>821063.02</v>
      </c>
      <c r="E23" s="86"/>
      <c r="F23" s="86">
        <v>777353.16</v>
      </c>
    </row>
    <row r="24" spans="1:6" ht="15.75" customHeight="1" x14ac:dyDescent="0.25">
      <c r="A24" s="85">
        <v>590</v>
      </c>
      <c r="B24" s="85" t="s">
        <v>149</v>
      </c>
      <c r="C24" s="86">
        <v>391774.27</v>
      </c>
      <c r="D24" s="86">
        <v>391774.27</v>
      </c>
      <c r="E24" s="86"/>
      <c r="F24" s="86"/>
    </row>
    <row r="25" spans="1:6" ht="15.75" customHeight="1" x14ac:dyDescent="0.25">
      <c r="A25" s="85">
        <v>600</v>
      </c>
      <c r="B25" s="85" t="s">
        <v>153</v>
      </c>
      <c r="C25" s="86">
        <v>21455107.870000001</v>
      </c>
      <c r="D25" s="86">
        <v>21455107.870000001</v>
      </c>
      <c r="E25" s="86"/>
      <c r="F25" s="86"/>
    </row>
    <row r="26" spans="1:6" ht="15.75" customHeight="1" x14ac:dyDescent="0.25">
      <c r="A26" s="85">
        <v>602</v>
      </c>
      <c r="B26" s="85" t="s">
        <v>155</v>
      </c>
      <c r="C26" s="86">
        <v>1059.3399999999999</v>
      </c>
      <c r="D26" s="86">
        <v>1059.3399999999999</v>
      </c>
      <c r="E26" s="86"/>
      <c r="F26" s="86"/>
    </row>
    <row r="27" spans="1:6" ht="15.75" customHeight="1" x14ac:dyDescent="0.25">
      <c r="A27" s="85">
        <v>621</v>
      </c>
      <c r="B27" s="85" t="s">
        <v>162</v>
      </c>
      <c r="C27" s="86">
        <v>19379517.920000002</v>
      </c>
      <c r="D27" s="86">
        <v>19379517.920000002</v>
      </c>
      <c r="E27" s="86"/>
      <c r="F27" s="86"/>
    </row>
    <row r="28" spans="1:6" ht="15.75" customHeight="1" x14ac:dyDescent="0.25">
      <c r="A28" s="85">
        <v>622</v>
      </c>
      <c r="B28" s="85" t="s">
        <v>163</v>
      </c>
      <c r="C28" s="86">
        <v>1156272.68</v>
      </c>
      <c r="D28" s="86">
        <v>1156272.68</v>
      </c>
      <c r="E28" s="86"/>
      <c r="F28" s="86"/>
    </row>
    <row r="29" spans="1:6" ht="15.75" customHeight="1" x14ac:dyDescent="0.25">
      <c r="A29" s="85">
        <v>690</v>
      </c>
      <c r="B29" s="85" t="s">
        <v>196</v>
      </c>
      <c r="C29" s="86">
        <v>391774.27</v>
      </c>
      <c r="D29" s="86">
        <v>391774.27</v>
      </c>
      <c r="E29" s="86"/>
      <c r="F29" s="86"/>
    </row>
    <row r="30" spans="1:6" ht="15.75" customHeight="1" x14ac:dyDescent="0.25">
      <c r="A30" s="85">
        <v>691</v>
      </c>
      <c r="B30" s="85" t="s">
        <v>285</v>
      </c>
      <c r="C30" s="86">
        <v>97943.57</v>
      </c>
      <c r="D30" s="86">
        <v>97943.57</v>
      </c>
      <c r="E30" s="86"/>
      <c r="F30" s="86"/>
    </row>
    <row r="31" spans="1:6" ht="15.75" customHeight="1" x14ac:dyDescent="0.25">
      <c r="A31" s="85">
        <v>692</v>
      </c>
      <c r="B31" s="85" t="s">
        <v>198</v>
      </c>
      <c r="C31" s="86">
        <v>293830.7</v>
      </c>
      <c r="D31" s="86">
        <v>293830.7</v>
      </c>
      <c r="E31" s="86"/>
      <c r="F31" s="86"/>
    </row>
    <row r="32" spans="1:6" ht="15.75" customHeight="1" x14ac:dyDescent="0.25">
      <c r="A32" s="85">
        <v>698</v>
      </c>
      <c r="B32" s="85" t="s">
        <v>220</v>
      </c>
      <c r="C32" s="86">
        <v>6553361.5899999999</v>
      </c>
      <c r="D32" s="86">
        <v>6553361.5899999999</v>
      </c>
      <c r="E32" s="86"/>
      <c r="F32" s="86"/>
    </row>
    <row r="33" spans="1:6" ht="15.75" customHeight="1" x14ac:dyDescent="0.25">
      <c r="A33" s="85">
        <v>740</v>
      </c>
      <c r="B33" s="85" t="s">
        <v>209</v>
      </c>
      <c r="C33" s="86">
        <v>1141228.93</v>
      </c>
      <c r="D33" s="86">
        <v>1141228.93</v>
      </c>
      <c r="E33" s="86"/>
      <c r="F33" s="86"/>
    </row>
    <row r="34" spans="1:6" ht="15.75" customHeight="1" x14ac:dyDescent="0.25">
      <c r="A34" s="85">
        <v>741</v>
      </c>
      <c r="B34" s="85" t="s">
        <v>365</v>
      </c>
      <c r="C34" s="86">
        <v>1156272.68</v>
      </c>
      <c r="D34" s="86">
        <v>1156272.68</v>
      </c>
      <c r="E34" s="86"/>
      <c r="F34" s="86"/>
    </row>
    <row r="35" spans="1:6" ht="15.75" customHeight="1" x14ac:dyDescent="0.25">
      <c r="A35" s="85">
        <v>770</v>
      </c>
      <c r="B35" s="85" t="s">
        <v>206</v>
      </c>
      <c r="C35" s="86">
        <v>15043.75</v>
      </c>
      <c r="D35" s="86">
        <v>15043.75</v>
      </c>
      <c r="E35" s="86"/>
      <c r="F35" s="86"/>
    </row>
    <row r="36" spans="1:6" ht="13.5" customHeight="1" x14ac:dyDescent="0.25"/>
    <row r="37" spans="1:6" ht="13.5" customHeight="1" x14ac:dyDescent="0.25"/>
    <row r="38" spans="1:6" ht="13.5" customHeight="1" x14ac:dyDescent="0.25"/>
    <row r="39" spans="1:6" ht="13.5" customHeight="1" x14ac:dyDescent="0.25"/>
    <row r="40" spans="1:6" ht="13.5" customHeight="1" x14ac:dyDescent="0.25"/>
    <row r="41" spans="1:6" ht="13.5" customHeight="1" x14ac:dyDescent="0.25"/>
    <row r="42" spans="1:6" ht="13.5" customHeight="1" x14ac:dyDescent="0.25"/>
    <row r="43" spans="1:6" ht="13.5" customHeight="1" x14ac:dyDescent="0.25"/>
    <row r="44" spans="1:6" ht="13.5" customHeight="1" x14ac:dyDescent="0.25"/>
    <row r="45" spans="1:6" ht="13.5" customHeight="1" x14ac:dyDescent="0.25"/>
    <row r="46" spans="1:6" ht="13.5" customHeight="1" x14ac:dyDescent="0.25"/>
    <row r="47" spans="1:6" ht="13.5" customHeight="1" x14ac:dyDescent="0.25"/>
    <row r="48" spans="1:6" ht="13.5" customHeight="1" x14ac:dyDescent="0.25"/>
    <row r="49" ht="13.5" customHeight="1" x14ac:dyDescent="0.25"/>
    <row r="50" ht="13.5" customHeight="1" x14ac:dyDescent="0.25"/>
    <row r="51" ht="13.5" customHeight="1" x14ac:dyDescent="0.25"/>
    <row r="52" ht="13.5" customHeight="1" x14ac:dyDescent="0.25"/>
    <row r="53" ht="13.5" customHeight="1" x14ac:dyDescent="0.25"/>
    <row r="54" ht="13.5" customHeight="1" x14ac:dyDescent="0.25"/>
    <row r="55" ht="13.5" customHeight="1" x14ac:dyDescent="0.25"/>
    <row r="56" ht="13.5" customHeight="1" x14ac:dyDescent="0.25"/>
    <row r="57" ht="13.5" customHeight="1" x14ac:dyDescent="0.25"/>
    <row r="58" ht="13.5" customHeight="1" x14ac:dyDescent="0.25"/>
    <row r="59" ht="13.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</sheetData>
  <phoneticPr fontId="19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93B78-EF35-453D-B0BF-7E322853E8CC}">
  <sheetPr codeName="Sayfa2">
    <pageSetUpPr fitToPage="1"/>
  </sheetPr>
  <dimension ref="A2:I271"/>
  <sheetViews>
    <sheetView tabSelected="1" zoomScale="82" zoomScaleNormal="82" workbookViewId="0">
      <selection activeCell="C228" sqref="C228"/>
    </sheetView>
  </sheetViews>
  <sheetFormatPr defaultRowHeight="18" customHeight="1" x14ac:dyDescent="0.25"/>
  <cols>
    <col min="1" max="1" width="11" style="5" customWidth="1"/>
    <col min="2" max="2" width="61.5703125" style="6" customWidth="1"/>
    <col min="3" max="3" width="23" style="6" customWidth="1"/>
    <col min="4" max="4" width="24" style="6" customWidth="1"/>
    <col min="5" max="5" width="22.28515625" style="6" customWidth="1"/>
    <col min="6" max="6" width="20.42578125" style="6" customWidth="1"/>
    <col min="7" max="7" width="18" style="6" customWidth="1"/>
    <col min="8" max="8" width="18.7109375" style="7" customWidth="1"/>
    <col min="9" max="9" width="17.85546875" style="8" customWidth="1"/>
    <col min="10" max="12" width="9.140625" style="6"/>
    <col min="13" max="13" width="11.42578125" style="6" customWidth="1"/>
    <col min="14" max="16384" width="9.140625" style="6"/>
  </cols>
  <sheetData>
    <row r="2" spans="1:9" ht="18" customHeight="1" thickBot="1" x14ac:dyDescent="0.3"/>
    <row r="3" spans="1:9" ht="18" customHeight="1" thickBot="1" x14ac:dyDescent="0.3">
      <c r="A3" s="119" t="s">
        <v>0</v>
      </c>
      <c r="B3" s="120" t="s">
        <v>1</v>
      </c>
      <c r="C3" s="121" t="s">
        <v>2</v>
      </c>
      <c r="D3" s="121"/>
      <c r="E3" s="121" t="s">
        <v>3</v>
      </c>
      <c r="F3" s="121"/>
    </row>
    <row r="4" spans="1:9" ht="18" customHeight="1" thickBot="1" x14ac:dyDescent="0.3">
      <c r="A4" s="119"/>
      <c r="B4" s="120"/>
      <c r="C4" s="9" t="s">
        <v>4</v>
      </c>
      <c r="D4" s="9" t="s">
        <v>5</v>
      </c>
      <c r="E4" s="9" t="s">
        <v>6</v>
      </c>
      <c r="F4" s="9" t="s">
        <v>7</v>
      </c>
    </row>
    <row r="5" spans="1:9" s="4" customFormat="1" ht="18" customHeight="1" x14ac:dyDescent="0.25">
      <c r="A5" s="26">
        <v>1</v>
      </c>
      <c r="B5" s="27" t="s">
        <v>8</v>
      </c>
      <c r="C5" s="54">
        <f>C6+C13+C22+C32+C42+C46+C49</f>
        <v>77447962.620000005</v>
      </c>
      <c r="D5" s="54">
        <f t="shared" ref="D5:F5" si="0">D6+D13+D22+D32+D42+D46+D49</f>
        <v>72062352.080000013</v>
      </c>
      <c r="E5" s="54">
        <f>SUM(E6+E13+E22+E32+E42+E46+E49)-F5</f>
        <v>5385610.5399999991</v>
      </c>
      <c r="F5" s="55">
        <f t="shared" si="0"/>
        <v>0</v>
      </c>
      <c r="H5" s="10"/>
      <c r="I5" s="11"/>
    </row>
    <row r="6" spans="1:9" s="12" customFormat="1" ht="18" customHeight="1" x14ac:dyDescent="0.25">
      <c r="A6" s="28">
        <v>10</v>
      </c>
      <c r="B6" s="29" t="s">
        <v>9</v>
      </c>
      <c r="C6" s="56">
        <f>SUM(C7:C11)</f>
        <v>23881649.409999996</v>
      </c>
      <c r="D6" s="56">
        <f>SUM(D7:D11)</f>
        <v>22538598.960000001</v>
      </c>
      <c r="E6" s="57">
        <f t="shared" ref="E6:E58" si="1">IF(C6&gt;D6,C6-D6,0)</f>
        <v>1343050.4499999955</v>
      </c>
      <c r="F6" s="58">
        <f t="shared" ref="F6:F58" si="2">IF(D6&gt;C6,D6-C6,0)</f>
        <v>0</v>
      </c>
      <c r="H6" s="13"/>
      <c r="I6" s="14"/>
    </row>
    <row r="7" spans="1:9" s="15" customFormat="1" ht="18" customHeight="1" x14ac:dyDescent="0.25">
      <c r="A7" s="30">
        <v>100</v>
      </c>
      <c r="B7" s="31" t="s">
        <v>219</v>
      </c>
      <c r="C7" s="59">
        <f>IFERROR(VLOOKUP($A7,'CARİ DÖNEM MİZAN'!$A:$E,COLUMN()+0,0),"")</f>
        <v>1012345.15</v>
      </c>
      <c r="D7" s="59">
        <f>IFERROR(VLOOKUP($A7,'CARİ DÖNEM MİZAN'!$A:$E,COLUMN()+0,0),"")</f>
        <v>684924.61</v>
      </c>
      <c r="E7" s="60">
        <f>IF(C7&gt;D7,C7-D7,0)</f>
        <v>327420.54000000004</v>
      </c>
      <c r="F7" s="61">
        <f t="shared" si="2"/>
        <v>0</v>
      </c>
      <c r="H7" s="16"/>
      <c r="I7" s="17"/>
    </row>
    <row r="8" spans="1:9" ht="18" customHeight="1" x14ac:dyDescent="0.25">
      <c r="A8" s="32">
        <v>101</v>
      </c>
      <c r="B8" s="33" t="s">
        <v>11</v>
      </c>
      <c r="C8" s="59">
        <f>IFERROR(VLOOKUP($A8,'CARİ DÖNEM MİZAN'!$A:$E,COLUMN()+0,0),"")</f>
        <v>19872541.879999999</v>
      </c>
      <c r="D8" s="59">
        <f>IFERROR(VLOOKUP($A8,'CARİ DÖNEM MİZAN'!$A:$E,COLUMN()+0,0),"")</f>
        <v>18961126.84</v>
      </c>
      <c r="E8" s="60">
        <f t="shared" si="1"/>
        <v>911415.03999999911</v>
      </c>
      <c r="F8" s="62">
        <f t="shared" si="2"/>
        <v>0</v>
      </c>
    </row>
    <row r="9" spans="1:9" ht="18" customHeight="1" x14ac:dyDescent="0.25">
      <c r="A9" s="32">
        <v>102</v>
      </c>
      <c r="B9" s="33" t="s">
        <v>10</v>
      </c>
      <c r="C9" s="59">
        <f>IFERROR(VLOOKUP($A9,'CARİ DÖNEM MİZAN'!$A:$E,COLUMN()+0,0),"")</f>
        <v>2996762.38</v>
      </c>
      <c r="D9" s="59">
        <f>IFERROR(VLOOKUP($A9,'CARİ DÖNEM MİZAN'!$A:$E,COLUMN()+0,0),"")</f>
        <v>2892547.51</v>
      </c>
      <c r="E9" s="60">
        <f t="shared" si="1"/>
        <v>104214.87000000011</v>
      </c>
      <c r="F9" s="62">
        <f t="shared" si="2"/>
        <v>0</v>
      </c>
    </row>
    <row r="10" spans="1:9" ht="18" customHeight="1" x14ac:dyDescent="0.25">
      <c r="A10" s="32">
        <v>103</v>
      </c>
      <c r="B10" s="33" t="s">
        <v>12</v>
      </c>
      <c r="C10" s="59" t="str">
        <f>IFERROR(VLOOKUP($A10,'CARİ DÖNEM MİZAN'!$A:$E,COLUMN()+0,0),"0")</f>
        <v>0</v>
      </c>
      <c r="D10" s="59" t="str">
        <f>IFERROR(VLOOKUP($A10,'CARİ DÖNEM MİZAN'!$A:$E,COLUMN()+0,0),"0")</f>
        <v>0</v>
      </c>
      <c r="E10" s="60">
        <f t="shared" si="1"/>
        <v>0</v>
      </c>
      <c r="F10" s="62">
        <f t="shared" si="2"/>
        <v>0</v>
      </c>
    </row>
    <row r="11" spans="1:9" ht="18" customHeight="1" x14ac:dyDescent="0.25">
      <c r="A11" s="32">
        <v>108</v>
      </c>
      <c r="B11" s="33" t="s">
        <v>13</v>
      </c>
      <c r="C11" s="59" t="str">
        <f>IFERROR(VLOOKUP($A11,'CARİ DÖNEM MİZAN'!$A:$E,COLUMN()+0,0),"0")</f>
        <v>0</v>
      </c>
      <c r="D11" s="59" t="str">
        <f>IFERROR(VLOOKUP($A11,'CARİ DÖNEM MİZAN'!$A:$E,COLUMN()+0,0),"0")</f>
        <v>0</v>
      </c>
      <c r="E11" s="60">
        <f t="shared" si="1"/>
        <v>0</v>
      </c>
      <c r="F11" s="62">
        <f t="shared" si="2"/>
        <v>0</v>
      </c>
    </row>
    <row r="12" spans="1:9" ht="18" customHeight="1" x14ac:dyDescent="0.25">
      <c r="A12" s="47">
        <v>11</v>
      </c>
      <c r="B12" s="81" t="s">
        <v>282</v>
      </c>
      <c r="C12" s="82">
        <v>0</v>
      </c>
      <c r="D12" s="82">
        <v>0</v>
      </c>
      <c r="E12" s="83">
        <v>0</v>
      </c>
      <c r="F12" s="64">
        <v>0</v>
      </c>
    </row>
    <row r="13" spans="1:9" s="12" customFormat="1" ht="18" customHeight="1" x14ac:dyDescent="0.25">
      <c r="A13" s="34">
        <v>12</v>
      </c>
      <c r="B13" s="35" t="s">
        <v>14</v>
      </c>
      <c r="C13" s="63">
        <f>SUM(C14:C21)</f>
        <v>25480580.280000001</v>
      </c>
      <c r="D13" s="63">
        <f>SUM(D14:D21)</f>
        <v>25284160.129999999</v>
      </c>
      <c r="E13" s="63">
        <f>SUM(E14:E21)-F13</f>
        <v>196420.15000000224</v>
      </c>
      <c r="F13" s="64">
        <f>SUM(F14:F21)</f>
        <v>0</v>
      </c>
      <c r="H13" s="13"/>
      <c r="I13" s="14"/>
    </row>
    <row r="14" spans="1:9" ht="18" customHeight="1" x14ac:dyDescent="0.25">
      <c r="A14" s="32">
        <v>120</v>
      </c>
      <c r="B14" s="33" t="s">
        <v>15</v>
      </c>
      <c r="C14" s="60">
        <f>IFERROR(VLOOKUP($A14,'CARİ DÖNEM MİZAN'!$A:$E,COLUMN()+0,0),"")</f>
        <v>25480580.280000001</v>
      </c>
      <c r="D14" s="60">
        <f>IFERROR(VLOOKUP($A14,'CARİ DÖNEM MİZAN'!$A:$E,COLUMN()+0,0),"")</f>
        <v>25284160.129999999</v>
      </c>
      <c r="E14" s="60">
        <f t="shared" si="1"/>
        <v>196420.15000000224</v>
      </c>
      <c r="F14" s="62">
        <f t="shared" si="2"/>
        <v>0</v>
      </c>
    </row>
    <row r="15" spans="1:9" ht="18" customHeight="1" x14ac:dyDescent="0.25">
      <c r="A15" s="32">
        <v>121</v>
      </c>
      <c r="B15" s="33" t="s">
        <v>16</v>
      </c>
      <c r="C15" s="60" t="str">
        <f>IFERROR(VLOOKUP($A15,'CARİ DÖNEM MİZAN'!$A:$E,COLUMN()+0,0),"")</f>
        <v/>
      </c>
      <c r="D15" s="60" t="str">
        <f>IFERROR(VLOOKUP($A15,'CARİ DÖNEM MİZAN'!$A:$E,COLUMN()+0,0),"")</f>
        <v/>
      </c>
      <c r="E15" s="60">
        <f t="shared" si="1"/>
        <v>0</v>
      </c>
      <c r="F15" s="62">
        <f t="shared" si="2"/>
        <v>0</v>
      </c>
    </row>
    <row r="16" spans="1:9" ht="18" customHeight="1" x14ac:dyDescent="0.25">
      <c r="A16" s="32">
        <v>122</v>
      </c>
      <c r="B16" s="33" t="s">
        <v>17</v>
      </c>
      <c r="C16" s="60" t="str">
        <f>IFERROR(VLOOKUP($A16,'CARİ DÖNEM MİZAN'!$A:$E,COLUMN()+0,0),"")</f>
        <v/>
      </c>
      <c r="D16" s="60" t="str">
        <f>IFERROR(VLOOKUP($A16,'CARİ DÖNEM MİZAN'!$A:$E,COLUMN()+0,0),"")</f>
        <v/>
      </c>
      <c r="E16" s="60">
        <f t="shared" si="1"/>
        <v>0</v>
      </c>
      <c r="F16" s="62">
        <f t="shared" si="2"/>
        <v>0</v>
      </c>
    </row>
    <row r="17" spans="1:9" ht="18" customHeight="1" x14ac:dyDescent="0.25">
      <c r="A17" s="32">
        <v>123</v>
      </c>
      <c r="B17" s="33" t="s">
        <v>18</v>
      </c>
      <c r="C17" s="60" t="str">
        <f>IFERROR(VLOOKUP($A17,'CARİ DÖNEM MİZAN'!$A:$E,COLUMN()+0,0),"")</f>
        <v/>
      </c>
      <c r="D17" s="60" t="str">
        <f>IFERROR(VLOOKUP($A17,'CARİ DÖNEM MİZAN'!$A:$E,COLUMN()+0,0),"")</f>
        <v/>
      </c>
      <c r="E17" s="60">
        <f t="shared" si="1"/>
        <v>0</v>
      </c>
      <c r="F17" s="62">
        <f t="shared" si="2"/>
        <v>0</v>
      </c>
    </row>
    <row r="18" spans="1:9" ht="18" customHeight="1" x14ac:dyDescent="0.25">
      <c r="A18" s="32">
        <v>126</v>
      </c>
      <c r="B18" s="33" t="s">
        <v>19</v>
      </c>
      <c r="C18" s="60" t="str">
        <f>IFERROR(VLOOKUP($A18,'CARİ DÖNEM MİZAN'!$A:$E,COLUMN()+0,0),"")</f>
        <v/>
      </c>
      <c r="D18" s="60" t="str">
        <f>IFERROR(VLOOKUP($A18,'CARİ DÖNEM MİZAN'!$A:$E,COLUMN()+0,0),"")</f>
        <v/>
      </c>
      <c r="E18" s="60">
        <f t="shared" si="1"/>
        <v>0</v>
      </c>
      <c r="F18" s="62">
        <f t="shared" si="2"/>
        <v>0</v>
      </c>
      <c r="I18" s="25"/>
    </row>
    <row r="19" spans="1:9" ht="18" customHeight="1" x14ac:dyDescent="0.25">
      <c r="A19" s="32">
        <v>127</v>
      </c>
      <c r="B19" s="33" t="s">
        <v>20</v>
      </c>
      <c r="C19" s="60" t="str">
        <f>IFERROR(VLOOKUP($A19,'CARİ DÖNEM MİZAN'!$A:$E,COLUMN()+0,0),"")</f>
        <v/>
      </c>
      <c r="D19" s="60" t="str">
        <f>IFERROR(VLOOKUP($A19,'CARİ DÖNEM MİZAN'!$A:$E,COLUMN()+0,0),"")</f>
        <v/>
      </c>
      <c r="E19" s="60">
        <f t="shared" si="1"/>
        <v>0</v>
      </c>
      <c r="F19" s="62">
        <f t="shared" si="2"/>
        <v>0</v>
      </c>
    </row>
    <row r="20" spans="1:9" ht="18" customHeight="1" x14ac:dyDescent="0.25">
      <c r="A20" s="32">
        <v>128</v>
      </c>
      <c r="B20" s="33" t="s">
        <v>21</v>
      </c>
      <c r="C20" s="60" t="str">
        <f>IFERROR(VLOOKUP($A20,'CARİ DÖNEM MİZAN'!$A:$E,COLUMN()+0,0),"")</f>
        <v/>
      </c>
      <c r="D20" s="60" t="str">
        <f>IFERROR(VLOOKUP($A20,'CARİ DÖNEM MİZAN'!$A:$E,COLUMN()+0,0),"")</f>
        <v/>
      </c>
      <c r="E20" s="60">
        <f t="shared" si="1"/>
        <v>0</v>
      </c>
      <c r="F20" s="62">
        <f t="shared" si="2"/>
        <v>0</v>
      </c>
    </row>
    <row r="21" spans="1:9" ht="18" customHeight="1" x14ac:dyDescent="0.25">
      <c r="A21" s="32">
        <v>129</v>
      </c>
      <c r="B21" s="33" t="s">
        <v>22</v>
      </c>
      <c r="C21" s="60" t="str">
        <f>IFERROR(VLOOKUP($A21,'CARİ DÖNEM MİZAN'!$A:$E,COLUMN()+0,0),"")</f>
        <v/>
      </c>
      <c r="D21" s="60" t="str">
        <f>IFERROR(VLOOKUP($A21,'CARİ DÖNEM MİZAN'!$A:$E,COLUMN()+0,0),"")</f>
        <v/>
      </c>
      <c r="E21" s="60">
        <f t="shared" si="1"/>
        <v>0</v>
      </c>
      <c r="F21" s="62">
        <f t="shared" si="2"/>
        <v>0</v>
      </c>
    </row>
    <row r="22" spans="1:9" s="12" customFormat="1" ht="18" customHeight="1" x14ac:dyDescent="0.25">
      <c r="A22" s="34">
        <v>13</v>
      </c>
      <c r="B22" s="35" t="s">
        <v>23</v>
      </c>
      <c r="C22" s="63">
        <f>SUM(C23:C31)</f>
        <v>0</v>
      </c>
      <c r="D22" s="63">
        <f>SUM(D23:D31)</f>
        <v>0</v>
      </c>
      <c r="E22" s="63">
        <f>SUM(E23:E31)</f>
        <v>0</v>
      </c>
      <c r="F22" s="65">
        <f>SUM(F23:F31)</f>
        <v>0</v>
      </c>
      <c r="H22" s="13"/>
      <c r="I22" s="14"/>
    </row>
    <row r="23" spans="1:9" ht="18" customHeight="1" x14ac:dyDescent="0.25">
      <c r="A23" s="32">
        <v>130</v>
      </c>
      <c r="B23" s="33" t="s">
        <v>24</v>
      </c>
      <c r="C23" s="60" t="str">
        <f>IFERROR(VLOOKUP($A23,'CARİ DÖNEM MİZAN'!$A:$E,COLUMN()+0,0),"")</f>
        <v/>
      </c>
      <c r="D23" s="60" t="str">
        <f>IFERROR(VLOOKUP($A23,'CARİ DÖNEM MİZAN'!$A:$E,COLUMN()+0,0),"")</f>
        <v/>
      </c>
      <c r="E23" s="60">
        <f>IF(C23&gt;D23,C23-D23,0)</f>
        <v>0</v>
      </c>
      <c r="F23" s="62">
        <f>IF(D23&gt;C23,D23-C23,0)</f>
        <v>0</v>
      </c>
    </row>
    <row r="24" spans="1:9" ht="18" customHeight="1" x14ac:dyDescent="0.25">
      <c r="A24" s="32">
        <v>131</v>
      </c>
      <c r="B24" s="33" t="s">
        <v>25</v>
      </c>
      <c r="C24" s="60" t="str">
        <f>IFERROR(VLOOKUP($A24,'CARİ DÖNEM MİZAN'!$A:$E,COLUMN()+0,0),"")</f>
        <v/>
      </c>
      <c r="D24" s="60" t="str">
        <f>IFERROR(VLOOKUP($A24,'CARİ DÖNEM MİZAN'!$A:$E,COLUMN()+0,0),"")</f>
        <v/>
      </c>
      <c r="E24" s="60">
        <f t="shared" ref="E24:E31" si="3">IF(C24&gt;D24,C24-D24,0)</f>
        <v>0</v>
      </c>
      <c r="F24" s="62">
        <f t="shared" ref="F24:F31" si="4">IF(D24&gt;C24,D24-C24,0)</f>
        <v>0</v>
      </c>
    </row>
    <row r="25" spans="1:9" ht="18" customHeight="1" x14ac:dyDescent="0.25">
      <c r="A25" s="32">
        <v>132</v>
      </c>
      <c r="B25" s="33" t="s">
        <v>26</v>
      </c>
      <c r="C25" s="60" t="str">
        <f>IFERROR(VLOOKUP($A25,'CARİ DÖNEM MİZAN'!$A:$E,COLUMN()+0,0),"")</f>
        <v/>
      </c>
      <c r="D25" s="60" t="str">
        <f>IFERROR(VLOOKUP($A25,'CARİ DÖNEM MİZAN'!$A:$E,COLUMN()+0,0),"")</f>
        <v/>
      </c>
      <c r="E25" s="60">
        <f t="shared" si="3"/>
        <v>0</v>
      </c>
      <c r="F25" s="62">
        <f t="shared" si="4"/>
        <v>0</v>
      </c>
    </row>
    <row r="26" spans="1:9" ht="18" customHeight="1" x14ac:dyDescent="0.25">
      <c r="A26" s="32">
        <v>133</v>
      </c>
      <c r="B26" s="33" t="s">
        <v>27</v>
      </c>
      <c r="C26" s="60" t="str">
        <f>IFERROR(VLOOKUP($A26,'CARİ DÖNEM MİZAN'!$A:$E,COLUMN()+0,0),"")</f>
        <v/>
      </c>
      <c r="D26" s="60" t="str">
        <f>IFERROR(VLOOKUP($A26,'CARİ DÖNEM MİZAN'!$A:$E,COLUMN()+0,0),"")</f>
        <v/>
      </c>
      <c r="E26" s="60">
        <f t="shared" si="3"/>
        <v>0</v>
      </c>
      <c r="F26" s="62">
        <f t="shared" si="4"/>
        <v>0</v>
      </c>
    </row>
    <row r="27" spans="1:9" ht="18" customHeight="1" x14ac:dyDescent="0.25">
      <c r="A27" s="32">
        <v>135</v>
      </c>
      <c r="B27" s="33" t="s">
        <v>28</v>
      </c>
      <c r="C27" s="60" t="str">
        <f>IFERROR(VLOOKUP($A27,'CARİ DÖNEM MİZAN'!$A:$E,COLUMN()+0,0),"")</f>
        <v/>
      </c>
      <c r="D27" s="60" t="str">
        <f>IFERROR(VLOOKUP($A27,'CARİ DÖNEM MİZAN'!$A:$E,COLUMN()+0,0),"")</f>
        <v/>
      </c>
      <c r="E27" s="60">
        <f t="shared" si="3"/>
        <v>0</v>
      </c>
      <c r="F27" s="62">
        <f t="shared" si="4"/>
        <v>0</v>
      </c>
    </row>
    <row r="28" spans="1:9" ht="18" customHeight="1" x14ac:dyDescent="0.25">
      <c r="A28" s="32">
        <v>136</v>
      </c>
      <c r="B28" s="33" t="s">
        <v>29</v>
      </c>
      <c r="C28" s="60" t="str">
        <f>IFERROR(VLOOKUP($A28,'CARİ DÖNEM MİZAN'!$A:$E,COLUMN()+0,0),"")</f>
        <v/>
      </c>
      <c r="D28" s="60" t="str">
        <f>IFERROR(VLOOKUP($A28,'CARİ DÖNEM MİZAN'!$A:$E,COLUMN()+0,0),"")</f>
        <v/>
      </c>
      <c r="E28" s="60">
        <f t="shared" si="3"/>
        <v>0</v>
      </c>
      <c r="F28" s="62">
        <f t="shared" si="4"/>
        <v>0</v>
      </c>
    </row>
    <row r="29" spans="1:9" ht="18" customHeight="1" x14ac:dyDescent="0.25">
      <c r="A29" s="32">
        <v>137</v>
      </c>
      <c r="B29" s="33" t="s">
        <v>30</v>
      </c>
      <c r="C29" s="60" t="str">
        <f>IFERROR(VLOOKUP($A29,'CARİ DÖNEM MİZAN'!$A:$E,COLUMN()+0,0),"")</f>
        <v/>
      </c>
      <c r="D29" s="60" t="str">
        <f>IFERROR(VLOOKUP($A29,'CARİ DÖNEM MİZAN'!$A:$E,COLUMN()+0,0),"")</f>
        <v/>
      </c>
      <c r="E29" s="60">
        <f t="shared" si="3"/>
        <v>0</v>
      </c>
      <c r="F29" s="62">
        <f t="shared" si="4"/>
        <v>0</v>
      </c>
    </row>
    <row r="30" spans="1:9" ht="18" customHeight="1" x14ac:dyDescent="0.25">
      <c r="A30" s="32">
        <v>138</v>
      </c>
      <c r="B30" s="33" t="s">
        <v>31</v>
      </c>
      <c r="C30" s="60" t="str">
        <f>IFERROR(VLOOKUP($A30,'CARİ DÖNEM MİZAN'!$A:$E,COLUMN()+0,0),"")</f>
        <v/>
      </c>
      <c r="D30" s="60" t="str">
        <f>IFERROR(VLOOKUP($A30,'CARİ DÖNEM MİZAN'!$A:$E,COLUMN()+0,0),"")</f>
        <v/>
      </c>
      <c r="E30" s="60">
        <f t="shared" si="3"/>
        <v>0</v>
      </c>
      <c r="F30" s="62">
        <f t="shared" si="4"/>
        <v>0</v>
      </c>
    </row>
    <row r="31" spans="1:9" ht="18" customHeight="1" x14ac:dyDescent="0.25">
      <c r="A31" s="32">
        <v>139</v>
      </c>
      <c r="B31" s="33" t="s">
        <v>32</v>
      </c>
      <c r="C31" s="60" t="str">
        <f>IFERROR(VLOOKUP($A31,'CARİ DÖNEM MİZAN'!$A:$E,COLUMN()+0,0),"")</f>
        <v/>
      </c>
      <c r="D31" s="60" t="str">
        <f>IFERROR(VLOOKUP($A31,'CARİ DÖNEM MİZAN'!$A:$E,COLUMN()+0,0),"")</f>
        <v/>
      </c>
      <c r="E31" s="60">
        <f t="shared" si="3"/>
        <v>0</v>
      </c>
      <c r="F31" s="62">
        <f t="shared" si="4"/>
        <v>0</v>
      </c>
    </row>
    <row r="32" spans="1:9" s="12" customFormat="1" ht="18" customHeight="1" x14ac:dyDescent="0.25">
      <c r="A32" s="34">
        <v>15</v>
      </c>
      <c r="B32" s="35" t="s">
        <v>33</v>
      </c>
      <c r="C32" s="63">
        <f>SUM(C33:C41)</f>
        <v>19379517.920000002</v>
      </c>
      <c r="D32" s="63">
        <f>SUM(D33:D41)</f>
        <v>15597107.67</v>
      </c>
      <c r="E32" s="63">
        <f>SUM(E33:E41)-F32</f>
        <v>3782410.2500000019</v>
      </c>
      <c r="F32" s="65">
        <f>SUM(F33:F41)</f>
        <v>0</v>
      </c>
      <c r="H32" s="13"/>
      <c r="I32" s="14"/>
    </row>
    <row r="33" spans="1:6" ht="18" customHeight="1" x14ac:dyDescent="0.25">
      <c r="A33" s="32">
        <v>150</v>
      </c>
      <c r="B33" s="33" t="s">
        <v>34</v>
      </c>
      <c r="C33" s="60" t="str">
        <f>IFERROR(VLOOKUP($A33,'CARİ DÖNEM MİZAN'!$A:$E,COLUMN()+0,0),"")</f>
        <v/>
      </c>
      <c r="D33" s="60" t="str">
        <f>IFERROR(VLOOKUP($A33,'CARİ DÖNEM MİZAN'!$A:$E,COLUMN()+0,0),"")</f>
        <v/>
      </c>
      <c r="E33" s="60">
        <f t="shared" si="1"/>
        <v>0</v>
      </c>
      <c r="F33" s="62">
        <f t="shared" si="2"/>
        <v>0</v>
      </c>
    </row>
    <row r="34" spans="1:6" ht="18" customHeight="1" x14ac:dyDescent="0.25">
      <c r="A34" s="32">
        <v>151</v>
      </c>
      <c r="B34" s="33" t="s">
        <v>35</v>
      </c>
      <c r="C34" s="60" t="str">
        <f>IFERROR(VLOOKUP($A34,'CARİ DÖNEM MİZAN'!$A:$E,COLUMN()+0,0),"")</f>
        <v/>
      </c>
      <c r="D34" s="60" t="str">
        <f>IFERROR(VLOOKUP($A34,'CARİ DÖNEM MİZAN'!$A:$E,COLUMN()+0,0),"")</f>
        <v/>
      </c>
      <c r="E34" s="60">
        <f t="shared" si="1"/>
        <v>0</v>
      </c>
      <c r="F34" s="62">
        <f t="shared" si="2"/>
        <v>0</v>
      </c>
    </row>
    <row r="35" spans="1:6" ht="18" customHeight="1" x14ac:dyDescent="0.25">
      <c r="A35" s="32">
        <v>152</v>
      </c>
      <c r="B35" s="33" t="s">
        <v>36</v>
      </c>
      <c r="C35" s="60" t="str">
        <f>IFERROR(VLOOKUP($A35,'CARİ DÖNEM MİZAN'!$A:$E,COLUMN()+0,0),"")</f>
        <v/>
      </c>
      <c r="D35" s="60" t="str">
        <f>IFERROR(VLOOKUP($A35,'CARİ DÖNEM MİZAN'!$A:$E,COLUMN()+0,0),"")</f>
        <v/>
      </c>
      <c r="E35" s="60">
        <f t="shared" si="1"/>
        <v>0</v>
      </c>
      <c r="F35" s="62">
        <f t="shared" si="2"/>
        <v>0</v>
      </c>
    </row>
    <row r="36" spans="1:6" ht="18" customHeight="1" x14ac:dyDescent="0.25">
      <c r="A36" s="32">
        <v>153</v>
      </c>
      <c r="B36" s="33" t="s">
        <v>37</v>
      </c>
      <c r="C36" s="60">
        <f>IFERROR(VLOOKUP($A36,'CARİ DÖNEM MİZAN'!$A:$E,COLUMN()+0,0),"")</f>
        <v>19379517.920000002</v>
      </c>
      <c r="D36" s="60">
        <f>IFERROR(VLOOKUP($A36,'CARİ DÖNEM MİZAN'!$A:$E,COLUMN()+0,0),"")</f>
        <v>15597107.67</v>
      </c>
      <c r="E36" s="60">
        <f t="shared" si="1"/>
        <v>3782410.2500000019</v>
      </c>
      <c r="F36" s="62">
        <f t="shared" si="2"/>
        <v>0</v>
      </c>
    </row>
    <row r="37" spans="1:6" ht="18" customHeight="1" x14ac:dyDescent="0.25">
      <c r="A37" s="32">
        <v>154</v>
      </c>
      <c r="B37" s="33" t="s">
        <v>38</v>
      </c>
      <c r="C37" s="60" t="str">
        <f>IFERROR(VLOOKUP($A37,'CARİ DÖNEM MİZAN'!$A:$E,COLUMN()+0,0),"")</f>
        <v/>
      </c>
      <c r="D37" s="60" t="str">
        <f>IFERROR(VLOOKUP($A37,'CARİ DÖNEM MİZAN'!$A:$E,COLUMN()+0,0),"")</f>
        <v/>
      </c>
      <c r="E37" s="60">
        <f t="shared" si="1"/>
        <v>0</v>
      </c>
      <c r="F37" s="62">
        <f t="shared" si="2"/>
        <v>0</v>
      </c>
    </row>
    <row r="38" spans="1:6" ht="18" customHeight="1" x14ac:dyDescent="0.25">
      <c r="A38" s="32">
        <v>155</v>
      </c>
      <c r="B38" s="33" t="s">
        <v>39</v>
      </c>
      <c r="C38" s="60" t="str">
        <f>IFERROR(VLOOKUP($A38,'CARİ DÖNEM MİZAN'!$A:$E,COLUMN()+0,0),"")</f>
        <v/>
      </c>
      <c r="D38" s="60" t="str">
        <f>IFERROR(VLOOKUP($A38,'CARİ DÖNEM MİZAN'!$A:$E,COLUMN()+0,0),"")</f>
        <v/>
      </c>
      <c r="E38" s="60">
        <f t="shared" si="1"/>
        <v>0</v>
      </c>
      <c r="F38" s="62">
        <f t="shared" si="2"/>
        <v>0</v>
      </c>
    </row>
    <row r="39" spans="1:6" ht="18" customHeight="1" x14ac:dyDescent="0.25">
      <c r="A39" s="32">
        <v>157</v>
      </c>
      <c r="B39" s="33" t="s">
        <v>40</v>
      </c>
      <c r="C39" s="60" t="str">
        <f>IFERROR(VLOOKUP($A39,'CARİ DÖNEM MİZAN'!$A:$E,COLUMN()+0,0),"")</f>
        <v/>
      </c>
      <c r="D39" s="60" t="str">
        <f>IFERROR(VLOOKUP($A39,'CARİ DÖNEM MİZAN'!$A:$E,COLUMN()+0,0),"")</f>
        <v/>
      </c>
      <c r="E39" s="60">
        <f t="shared" si="1"/>
        <v>0</v>
      </c>
      <c r="F39" s="62">
        <f t="shared" si="2"/>
        <v>0</v>
      </c>
    </row>
    <row r="40" spans="1:6" ht="18" customHeight="1" x14ac:dyDescent="0.25">
      <c r="A40" s="32">
        <v>158</v>
      </c>
      <c r="B40" s="33" t="s">
        <v>41</v>
      </c>
      <c r="C40" s="60" t="str">
        <f>IFERROR(VLOOKUP($A40,'CARİ DÖNEM MİZAN'!$A:$E,COLUMN()+0,0),"")</f>
        <v/>
      </c>
      <c r="D40" s="60" t="str">
        <f>IFERROR(VLOOKUP($A40,'CARİ DÖNEM MİZAN'!$A:$E,COLUMN()+0,0),"")</f>
        <v/>
      </c>
      <c r="E40" s="60">
        <f t="shared" si="1"/>
        <v>0</v>
      </c>
      <c r="F40" s="62">
        <f t="shared" si="2"/>
        <v>0</v>
      </c>
    </row>
    <row r="41" spans="1:6" ht="18" customHeight="1" x14ac:dyDescent="0.25">
      <c r="A41" s="32">
        <v>159</v>
      </c>
      <c r="B41" s="33" t="s">
        <v>42</v>
      </c>
      <c r="C41" s="60" t="str">
        <f>IFERROR(VLOOKUP($A41,'CARİ DÖNEM MİZAN'!$A:$E,COLUMN()+0,0),"")</f>
        <v/>
      </c>
      <c r="D41" s="60" t="str">
        <f>IFERROR(VLOOKUP($A41,'CARİ DÖNEM MİZAN'!$A:$E,COLUMN()+0,0),"")</f>
        <v/>
      </c>
      <c r="E41" s="60">
        <f t="shared" si="1"/>
        <v>0</v>
      </c>
      <c r="F41" s="62">
        <f t="shared" si="2"/>
        <v>0</v>
      </c>
    </row>
    <row r="42" spans="1:6" ht="18" customHeight="1" x14ac:dyDescent="0.25">
      <c r="A42" s="47">
        <v>17</v>
      </c>
      <c r="B42" s="48" t="s">
        <v>247</v>
      </c>
      <c r="C42" s="57">
        <f>SUM(C43:C45)</f>
        <v>0</v>
      </c>
      <c r="D42" s="57">
        <f t="shared" ref="D42:F42" si="5">SUM(D43:D45)</f>
        <v>0</v>
      </c>
      <c r="E42" s="57">
        <f>SUM(E43:E45)-F42</f>
        <v>0</v>
      </c>
      <c r="F42" s="57">
        <f t="shared" si="5"/>
        <v>0</v>
      </c>
    </row>
    <row r="43" spans="1:6" ht="18" customHeight="1" x14ac:dyDescent="0.25">
      <c r="A43" s="32">
        <v>170</v>
      </c>
      <c r="B43" s="33" t="s">
        <v>247</v>
      </c>
      <c r="C43" s="60" t="str">
        <f>IFERROR(VLOOKUP($A43,'CARİ DÖNEM MİZAN'!$A:$E,COLUMN()+0,0),"")</f>
        <v/>
      </c>
      <c r="D43" s="60" t="str">
        <f>IFERROR(VLOOKUP($A43,'CARİ DÖNEM MİZAN'!$A:$E,COLUMN()+0,0),"")</f>
        <v/>
      </c>
      <c r="E43" s="60">
        <f t="shared" si="1"/>
        <v>0</v>
      </c>
      <c r="F43" s="62">
        <f t="shared" si="2"/>
        <v>0</v>
      </c>
    </row>
    <row r="44" spans="1:6" ht="18" customHeight="1" x14ac:dyDescent="0.25">
      <c r="A44" s="32">
        <v>178</v>
      </c>
      <c r="B44" s="33" t="s">
        <v>254</v>
      </c>
      <c r="C44" s="60" t="str">
        <f>IFERROR(VLOOKUP($A44,'CARİ DÖNEM MİZAN'!$A:$E,COLUMN()+0,0),"")</f>
        <v/>
      </c>
      <c r="D44" s="60" t="str">
        <f>IFERROR(VLOOKUP($A44,'CARİ DÖNEM MİZAN'!$A:$E,COLUMN()+0,0),"")</f>
        <v/>
      </c>
      <c r="E44" s="60">
        <f t="shared" si="1"/>
        <v>0</v>
      </c>
      <c r="F44" s="62">
        <f t="shared" si="2"/>
        <v>0</v>
      </c>
    </row>
    <row r="45" spans="1:6" ht="18" customHeight="1" x14ac:dyDescent="0.25">
      <c r="A45" s="32">
        <v>179</v>
      </c>
      <c r="B45" s="33" t="s">
        <v>255</v>
      </c>
      <c r="C45" s="60" t="str">
        <f>IFERROR(VLOOKUP($A45,'CARİ DÖNEM MİZAN'!$A:$E,COLUMN()+0,0),"")</f>
        <v/>
      </c>
      <c r="D45" s="60" t="str">
        <f>IFERROR(VLOOKUP($A45,'CARİ DÖNEM MİZAN'!$A:$E,COLUMN()+0,0),"")</f>
        <v/>
      </c>
      <c r="E45" s="60">
        <f t="shared" si="1"/>
        <v>0</v>
      </c>
      <c r="F45" s="62">
        <f t="shared" si="2"/>
        <v>0</v>
      </c>
    </row>
    <row r="46" spans="1:6" ht="18" customHeight="1" x14ac:dyDescent="0.25">
      <c r="A46" s="47">
        <v>18</v>
      </c>
      <c r="B46" s="49" t="s">
        <v>256</v>
      </c>
      <c r="C46" s="57">
        <f>SUM(C47:C48)</f>
        <v>0</v>
      </c>
      <c r="D46" s="57">
        <f t="shared" ref="D46:F46" si="6">SUM(D47:D48)</f>
        <v>0</v>
      </c>
      <c r="E46" s="57">
        <f>SUM(E47:E48)-F46</f>
        <v>0</v>
      </c>
      <c r="F46" s="57">
        <f t="shared" si="6"/>
        <v>0</v>
      </c>
    </row>
    <row r="47" spans="1:6" ht="18" customHeight="1" x14ac:dyDescent="0.25">
      <c r="A47" s="32">
        <v>180</v>
      </c>
      <c r="B47" s="33" t="s">
        <v>249</v>
      </c>
      <c r="C47" s="60" t="str">
        <f>IFERROR(VLOOKUP($A47,'CARİ DÖNEM MİZAN'!$A:$E,COLUMN()+0,0),"")</f>
        <v/>
      </c>
      <c r="D47" s="60" t="str">
        <f>IFERROR(VLOOKUP($A47,'CARİ DÖNEM MİZAN'!$A:$E,COLUMN()+0,0),"")</f>
        <v/>
      </c>
      <c r="E47" s="60">
        <f t="shared" si="1"/>
        <v>0</v>
      </c>
      <c r="F47" s="62">
        <f t="shared" si="2"/>
        <v>0</v>
      </c>
    </row>
    <row r="48" spans="1:6" ht="18" customHeight="1" x14ac:dyDescent="0.25">
      <c r="A48" s="32">
        <v>181</v>
      </c>
      <c r="B48" s="33" t="s">
        <v>76</v>
      </c>
      <c r="C48" s="60" t="str">
        <f>IFERROR(VLOOKUP($A48,'CARİ DÖNEM MİZAN'!$A:$E,COLUMN()+0,0),"")</f>
        <v/>
      </c>
      <c r="D48" s="60" t="str">
        <f>IFERROR(VLOOKUP($A48,'CARİ DÖNEM MİZAN'!$A:$E,COLUMN()+0,0),"")</f>
        <v/>
      </c>
      <c r="E48" s="60">
        <f t="shared" si="1"/>
        <v>0</v>
      </c>
      <c r="F48" s="62">
        <f t="shared" si="2"/>
        <v>0</v>
      </c>
    </row>
    <row r="49" spans="1:9" s="12" customFormat="1" ht="18" customHeight="1" x14ac:dyDescent="0.25">
      <c r="A49" s="34">
        <v>19</v>
      </c>
      <c r="B49" s="35" t="s">
        <v>43</v>
      </c>
      <c r="C49" s="63">
        <f>SUM(C50:C58)</f>
        <v>8706215.0099999998</v>
      </c>
      <c r="D49" s="63">
        <f>SUM(D50:D58)</f>
        <v>8642485.3200000003</v>
      </c>
      <c r="E49" s="63">
        <f>SUM(E50:E58)</f>
        <v>63729.689999999478</v>
      </c>
      <c r="F49" s="65">
        <f>SUM(F50:F58)</f>
        <v>0</v>
      </c>
      <c r="H49" s="13"/>
      <c r="I49" s="14"/>
    </row>
    <row r="50" spans="1:9" ht="18" customHeight="1" x14ac:dyDescent="0.25">
      <c r="A50" s="32">
        <v>190</v>
      </c>
      <c r="B50" s="33" t="s">
        <v>44</v>
      </c>
      <c r="C50" s="60">
        <f>IFERROR(VLOOKUP($A50,'CARİ DÖNEM MİZAN'!$A:$E,COLUMN()+0,0),"")</f>
        <v>4384972.3499999996</v>
      </c>
      <c r="D50" s="60">
        <f>IFERROR(VLOOKUP($A50,'CARİ DÖNEM MİZAN'!$A:$E,COLUMN()+0,0),"")</f>
        <v>4321242.66</v>
      </c>
      <c r="E50" s="60">
        <f t="shared" si="1"/>
        <v>63729.689999999478</v>
      </c>
      <c r="F50" s="62">
        <f t="shared" si="2"/>
        <v>0</v>
      </c>
    </row>
    <row r="51" spans="1:9" ht="18" customHeight="1" x14ac:dyDescent="0.25">
      <c r="A51" s="32">
        <v>191</v>
      </c>
      <c r="B51" s="33" t="s">
        <v>45</v>
      </c>
      <c r="C51" s="60">
        <f>IFERROR(VLOOKUP($A51,'CARİ DÖNEM MİZAN'!$A:$E,COLUMN()+0,0),"")</f>
        <v>4321242.66</v>
      </c>
      <c r="D51" s="60">
        <f>IFERROR(VLOOKUP($A51,'CARİ DÖNEM MİZAN'!$A:$E,COLUMN()+0,0),"")</f>
        <v>4321242.66</v>
      </c>
      <c r="E51" s="60">
        <f t="shared" si="1"/>
        <v>0</v>
      </c>
      <c r="F51" s="62">
        <f t="shared" si="2"/>
        <v>0</v>
      </c>
    </row>
    <row r="52" spans="1:9" ht="18" customHeight="1" x14ac:dyDescent="0.25">
      <c r="A52" s="32">
        <v>192</v>
      </c>
      <c r="B52" s="33" t="s">
        <v>46</v>
      </c>
      <c r="C52" s="60" t="str">
        <f>IFERROR(VLOOKUP($A52,'CARİ DÖNEM MİZAN'!$A:$E,COLUMN()+0,0),"")</f>
        <v/>
      </c>
      <c r="D52" s="60" t="str">
        <f>IFERROR(VLOOKUP($A52,'CARİ DÖNEM MİZAN'!$A:$E,COLUMN()+0,0),"")</f>
        <v/>
      </c>
      <c r="E52" s="60">
        <f t="shared" si="1"/>
        <v>0</v>
      </c>
      <c r="F52" s="62">
        <f t="shared" si="2"/>
        <v>0</v>
      </c>
    </row>
    <row r="53" spans="1:9" ht="18" customHeight="1" x14ac:dyDescent="0.25">
      <c r="A53" s="32">
        <v>193</v>
      </c>
      <c r="B53" s="33" t="s">
        <v>47</v>
      </c>
      <c r="C53" s="60" t="str">
        <f>IFERROR(VLOOKUP($A53,'CARİ DÖNEM MİZAN'!$A:$E,COLUMN()+0,0),"")</f>
        <v/>
      </c>
      <c r="D53" s="60" t="str">
        <f>IFERROR(VLOOKUP($A53,'CARİ DÖNEM MİZAN'!$A:$E,COLUMN()+0,0),"")</f>
        <v/>
      </c>
      <c r="E53" s="60">
        <f t="shared" si="1"/>
        <v>0</v>
      </c>
      <c r="F53" s="62">
        <f t="shared" si="2"/>
        <v>0</v>
      </c>
    </row>
    <row r="54" spans="1:9" ht="18" customHeight="1" x14ac:dyDescent="0.25">
      <c r="A54" s="32">
        <v>195</v>
      </c>
      <c r="B54" s="33" t="s">
        <v>48</v>
      </c>
      <c r="C54" s="60" t="str">
        <f>IFERROR(VLOOKUP($A54,'CARİ DÖNEM MİZAN'!$A:$E,COLUMN()+0,0),"")</f>
        <v/>
      </c>
      <c r="D54" s="60" t="str">
        <f>IFERROR(VLOOKUP($A54,'CARİ DÖNEM MİZAN'!$A:$E,COLUMN()+0,0),"")</f>
        <v/>
      </c>
      <c r="E54" s="60">
        <f t="shared" si="1"/>
        <v>0</v>
      </c>
      <c r="F54" s="62">
        <f t="shared" si="2"/>
        <v>0</v>
      </c>
    </row>
    <row r="55" spans="1:9" ht="18" customHeight="1" x14ac:dyDescent="0.25">
      <c r="A55" s="32">
        <v>196</v>
      </c>
      <c r="B55" s="33" t="s">
        <v>49</v>
      </c>
      <c r="C55" s="60" t="str">
        <f>IFERROR(VLOOKUP($A55,'CARİ DÖNEM MİZAN'!$A:$E,COLUMN()+0,0),"")</f>
        <v/>
      </c>
      <c r="D55" s="60" t="str">
        <f>IFERROR(VLOOKUP($A55,'CARİ DÖNEM MİZAN'!$A:$E,COLUMN()+0,0),"")</f>
        <v/>
      </c>
      <c r="E55" s="60">
        <f t="shared" si="1"/>
        <v>0</v>
      </c>
      <c r="F55" s="62">
        <f t="shared" si="2"/>
        <v>0</v>
      </c>
    </row>
    <row r="56" spans="1:9" ht="18" customHeight="1" x14ac:dyDescent="0.25">
      <c r="A56" s="32">
        <v>197</v>
      </c>
      <c r="B56" s="33" t="s">
        <v>50</v>
      </c>
      <c r="C56" s="60" t="str">
        <f>IFERROR(VLOOKUP($A56,'CARİ DÖNEM MİZAN'!$A:$E,COLUMN()+0,0),"")</f>
        <v/>
      </c>
      <c r="D56" s="60" t="str">
        <f>IFERROR(VLOOKUP($A56,'CARİ DÖNEM MİZAN'!$A:$E,COLUMN()+0,0),"")</f>
        <v/>
      </c>
      <c r="E56" s="60">
        <f t="shared" si="1"/>
        <v>0</v>
      </c>
      <c r="F56" s="62">
        <f t="shared" si="2"/>
        <v>0</v>
      </c>
    </row>
    <row r="57" spans="1:9" ht="18" customHeight="1" x14ac:dyDescent="0.25">
      <c r="A57" s="32">
        <v>198</v>
      </c>
      <c r="B57" s="33" t="s">
        <v>51</v>
      </c>
      <c r="C57" s="60" t="str">
        <f>IFERROR(VLOOKUP($A57,'CARİ DÖNEM MİZAN'!$A:$E,COLUMN()+0,0),"")</f>
        <v/>
      </c>
      <c r="D57" s="60" t="str">
        <f>IFERROR(VLOOKUP($A57,'CARİ DÖNEM MİZAN'!$A:$E,COLUMN()+0,0),"")</f>
        <v/>
      </c>
      <c r="E57" s="60">
        <f t="shared" si="1"/>
        <v>0</v>
      </c>
      <c r="F57" s="62">
        <f t="shared" si="2"/>
        <v>0</v>
      </c>
    </row>
    <row r="58" spans="1:9" ht="18" customHeight="1" x14ac:dyDescent="0.25">
      <c r="A58" s="32">
        <v>199</v>
      </c>
      <c r="B58" s="33" t="s">
        <v>52</v>
      </c>
      <c r="C58" s="60" t="str">
        <f>IFERROR(VLOOKUP($A58,'CARİ DÖNEM MİZAN'!$A:$E,COLUMN()+0,0),"")</f>
        <v/>
      </c>
      <c r="D58" s="60" t="str">
        <f>IFERROR(VLOOKUP($A58,'CARİ DÖNEM MİZAN'!$A:$E,COLUMN()+0,0),"")</f>
        <v/>
      </c>
      <c r="E58" s="60">
        <f t="shared" si="1"/>
        <v>0</v>
      </c>
      <c r="F58" s="62">
        <f t="shared" si="2"/>
        <v>0</v>
      </c>
    </row>
    <row r="59" spans="1:9" s="4" customFormat="1" ht="18" customHeight="1" x14ac:dyDescent="0.25">
      <c r="A59" s="36">
        <v>2</v>
      </c>
      <c r="B59" s="37" t="s">
        <v>53</v>
      </c>
      <c r="C59" s="66">
        <f>C60+C71+C81</f>
        <v>7722398.2999999998</v>
      </c>
      <c r="D59" s="66">
        <f>D60+D71+D81</f>
        <v>3442838.21</v>
      </c>
      <c r="E59" s="66">
        <f>SUM(E60+E71+E81)</f>
        <v>4279560.09</v>
      </c>
      <c r="F59" s="65">
        <f>F60+F71+F81</f>
        <v>0</v>
      </c>
      <c r="H59" s="10"/>
      <c r="I59" s="11"/>
    </row>
    <row r="60" spans="1:9" s="12" customFormat="1" ht="18" customHeight="1" x14ac:dyDescent="0.25">
      <c r="A60" s="34">
        <v>25</v>
      </c>
      <c r="B60" s="35" t="s">
        <v>54</v>
      </c>
      <c r="C60" s="63">
        <f>SUM(C61:C70)</f>
        <v>6887828.2299999995</v>
      </c>
      <c r="D60" s="63">
        <f>SUM(D61:D70)</f>
        <v>3244170.58</v>
      </c>
      <c r="E60" s="63">
        <f>SUM(E61:E70)-F60</f>
        <v>3643657.6499999994</v>
      </c>
      <c r="F60" s="65">
        <f>SUM(F61:F70)</f>
        <v>0</v>
      </c>
      <c r="H60" s="13"/>
      <c r="I60" s="14"/>
    </row>
    <row r="61" spans="1:9" ht="18" customHeight="1" x14ac:dyDescent="0.25">
      <c r="A61" s="32">
        <v>250</v>
      </c>
      <c r="B61" s="33" t="s">
        <v>55</v>
      </c>
      <c r="C61" s="60" t="str">
        <f>IFERROR(VLOOKUP($A61,'CARİ DÖNEM MİZAN'!$A:$E,COLUMN()+0,0),"")</f>
        <v/>
      </c>
      <c r="D61" s="60" t="str">
        <f>IFERROR(VLOOKUP($A61,'CARİ DÖNEM MİZAN'!$A:$E,COLUMN()+0,0),"")</f>
        <v/>
      </c>
      <c r="E61" s="60">
        <f t="shared" ref="E61:E126" si="7">IF(C61&gt;D61,C61-D61,0)</f>
        <v>0</v>
      </c>
      <c r="F61" s="62">
        <f t="shared" ref="F61:F70" si="8">IF(D61&gt;C61,D61-C61,0)</f>
        <v>0</v>
      </c>
    </row>
    <row r="62" spans="1:9" ht="18" customHeight="1" x14ac:dyDescent="0.25">
      <c r="A62" s="32">
        <v>251</v>
      </c>
      <c r="B62" s="33" t="s">
        <v>56</v>
      </c>
      <c r="C62" s="60" t="str">
        <f>IFERROR(VLOOKUP($A62,'CARİ DÖNEM MİZAN'!$A:$E,COLUMN()+0,0),"")</f>
        <v/>
      </c>
      <c r="D62" s="60" t="str">
        <f>IFERROR(VLOOKUP($A62,'CARİ DÖNEM MİZAN'!$A:$E,COLUMN()+0,0),"")</f>
        <v/>
      </c>
      <c r="E62" s="60">
        <f t="shared" si="7"/>
        <v>0</v>
      </c>
      <c r="F62" s="62">
        <f t="shared" si="8"/>
        <v>0</v>
      </c>
    </row>
    <row r="63" spans="1:9" ht="18" customHeight="1" x14ac:dyDescent="0.25">
      <c r="A63" s="32">
        <v>252</v>
      </c>
      <c r="B63" s="33" t="s">
        <v>57</v>
      </c>
      <c r="C63" s="60" t="str">
        <f>IFERROR(VLOOKUP($A63,'CARİ DÖNEM MİZAN'!$A:$E,COLUMN()+0,0),"")</f>
        <v/>
      </c>
      <c r="D63" s="60" t="str">
        <f>IFERROR(VLOOKUP($A63,'CARİ DÖNEM MİZAN'!$A:$E,COLUMN()+0,0),"")</f>
        <v/>
      </c>
      <c r="E63" s="60">
        <f t="shared" si="7"/>
        <v>0</v>
      </c>
      <c r="F63" s="62">
        <f t="shared" si="8"/>
        <v>0</v>
      </c>
    </row>
    <row r="64" spans="1:9" ht="18" customHeight="1" x14ac:dyDescent="0.25">
      <c r="A64" s="32">
        <v>253</v>
      </c>
      <c r="B64" s="33" t="s">
        <v>58</v>
      </c>
      <c r="C64" s="60">
        <f>IFERROR(VLOOKUP($A64,'CARİ DÖNEM MİZAN'!$A:$E,COLUMN()+0,0),"")</f>
        <v>6775757.3099999996</v>
      </c>
      <c r="D64" s="60">
        <f>IFERROR(VLOOKUP($A64,'CARİ DÖNEM MİZAN'!$A:$E,COLUMN()+0,0),"")</f>
        <v>3191385.12</v>
      </c>
      <c r="E64" s="60">
        <f t="shared" si="7"/>
        <v>3584372.1899999995</v>
      </c>
      <c r="F64" s="62">
        <f t="shared" si="8"/>
        <v>0</v>
      </c>
    </row>
    <row r="65" spans="1:9" ht="18" customHeight="1" x14ac:dyDescent="0.25">
      <c r="A65" s="32">
        <v>254</v>
      </c>
      <c r="B65" s="33" t="s">
        <v>59</v>
      </c>
      <c r="C65" s="60">
        <f>IFERROR(VLOOKUP($A65,'CARİ DÖNEM MİZAN'!$A:$E,COLUMN()+0,0),"")</f>
        <v>112070.92</v>
      </c>
      <c r="D65" s="60">
        <f>IFERROR(VLOOKUP($A65,'CARİ DÖNEM MİZAN'!$A:$E,COLUMN()+0,0),"")</f>
        <v>52785.46</v>
      </c>
      <c r="E65" s="60">
        <f t="shared" si="7"/>
        <v>59285.46</v>
      </c>
      <c r="F65" s="62">
        <f t="shared" si="8"/>
        <v>0</v>
      </c>
    </row>
    <row r="66" spans="1:9" ht="18" customHeight="1" x14ac:dyDescent="0.25">
      <c r="A66" s="32">
        <v>255</v>
      </c>
      <c r="B66" s="33" t="s">
        <v>60</v>
      </c>
      <c r="C66" s="60" t="str">
        <f>IFERROR(VLOOKUP($A66,'CARİ DÖNEM MİZAN'!$A:$E,COLUMN()+0,0),"")</f>
        <v/>
      </c>
      <c r="D66" s="60" t="str">
        <f>IFERROR(VLOOKUP($A66,'CARİ DÖNEM MİZAN'!$A:$E,COLUMN()+0,0),"")</f>
        <v/>
      </c>
      <c r="E66" s="60">
        <f t="shared" si="7"/>
        <v>0</v>
      </c>
      <c r="F66" s="62">
        <f t="shared" si="8"/>
        <v>0</v>
      </c>
    </row>
    <row r="67" spans="1:9" ht="18" customHeight="1" x14ac:dyDescent="0.25">
      <c r="A67" s="32">
        <v>256</v>
      </c>
      <c r="B67" s="33" t="s">
        <v>61</v>
      </c>
      <c r="C67" s="60" t="str">
        <f>IFERROR(VLOOKUP($A67,'CARİ DÖNEM MİZAN'!$A:$E,COLUMN()+0,0),"")</f>
        <v/>
      </c>
      <c r="D67" s="60" t="str">
        <f>IFERROR(VLOOKUP($A67,'CARİ DÖNEM MİZAN'!$A:$E,COLUMN()+0,0),"")</f>
        <v/>
      </c>
      <c r="E67" s="60">
        <f t="shared" si="7"/>
        <v>0</v>
      </c>
      <c r="F67" s="62">
        <f t="shared" si="8"/>
        <v>0</v>
      </c>
    </row>
    <row r="68" spans="1:9" ht="18" customHeight="1" x14ac:dyDescent="0.25">
      <c r="A68" s="32">
        <v>257</v>
      </c>
      <c r="B68" s="33" t="s">
        <v>62</v>
      </c>
      <c r="C68" s="60" t="str">
        <f>IFERROR(VLOOKUP($A68,'CARİ DÖNEM MİZAN'!$A:$E,COLUMN()+0,0),"")</f>
        <v/>
      </c>
      <c r="D68" s="60" t="str">
        <f>IFERROR(VLOOKUP($A68,'CARİ DÖNEM MİZAN'!$A:$E,COLUMN()+0,0),"")</f>
        <v/>
      </c>
      <c r="E68" s="60">
        <f t="shared" si="7"/>
        <v>0</v>
      </c>
      <c r="F68" s="62">
        <f t="shared" si="8"/>
        <v>0</v>
      </c>
    </row>
    <row r="69" spans="1:9" ht="18" customHeight="1" x14ac:dyDescent="0.25">
      <c r="A69" s="32">
        <v>258</v>
      </c>
      <c r="B69" s="33" t="s">
        <v>63</v>
      </c>
      <c r="C69" s="60" t="str">
        <f>IFERROR(VLOOKUP($A69,'CARİ DÖNEM MİZAN'!$A:$E,COLUMN()+0,0),"")</f>
        <v/>
      </c>
      <c r="D69" s="60" t="str">
        <f>IFERROR(VLOOKUP($A69,'CARİ DÖNEM MİZAN'!$A:$E,COLUMN()+0,0),"")</f>
        <v/>
      </c>
      <c r="E69" s="60">
        <f t="shared" si="7"/>
        <v>0</v>
      </c>
      <c r="F69" s="62">
        <f t="shared" si="8"/>
        <v>0</v>
      </c>
    </row>
    <row r="70" spans="1:9" ht="18" customHeight="1" x14ac:dyDescent="0.25">
      <c r="A70" s="32">
        <v>259</v>
      </c>
      <c r="B70" s="33" t="s">
        <v>64</v>
      </c>
      <c r="C70" s="60" t="str">
        <f>IFERROR(VLOOKUP($A70,'CARİ DÖNEM MİZAN'!$A:$E,COLUMN()+0,0),"")</f>
        <v/>
      </c>
      <c r="D70" s="60" t="str">
        <f>IFERROR(VLOOKUP($A70,'CARİ DÖNEM MİZAN'!$A:$E,COLUMN()+0,0),"")</f>
        <v/>
      </c>
      <c r="E70" s="60">
        <f t="shared" si="7"/>
        <v>0</v>
      </c>
      <c r="F70" s="62">
        <f t="shared" si="8"/>
        <v>0</v>
      </c>
    </row>
    <row r="71" spans="1:9" s="12" customFormat="1" ht="18" customHeight="1" x14ac:dyDescent="0.25">
      <c r="A71" s="34">
        <v>26</v>
      </c>
      <c r="B71" s="35" t="s">
        <v>65</v>
      </c>
      <c r="C71" s="63">
        <f>SUM(C72:C80)</f>
        <v>0</v>
      </c>
      <c r="D71" s="63">
        <f>SUM(D72:D80)</f>
        <v>0</v>
      </c>
      <c r="E71" s="63">
        <f>SUM(E72:E80)</f>
        <v>0</v>
      </c>
      <c r="F71" s="65">
        <f>SUM(F72:F80)</f>
        <v>0</v>
      </c>
      <c r="H71" s="13"/>
      <c r="I71" s="14"/>
    </row>
    <row r="72" spans="1:9" ht="18" customHeight="1" x14ac:dyDescent="0.25">
      <c r="A72" s="32">
        <v>260</v>
      </c>
      <c r="B72" s="33" t="s">
        <v>66</v>
      </c>
      <c r="C72" s="60" t="str">
        <f>IFERROR(VLOOKUP($A72,'CARİ DÖNEM MİZAN'!$A:$E,COLUMN()+0,0),"")</f>
        <v/>
      </c>
      <c r="D72" s="60" t="str">
        <f>IFERROR(VLOOKUP($A72,'CARİ DÖNEM MİZAN'!$A:$E,COLUMN()+0,0),"")</f>
        <v/>
      </c>
      <c r="E72" s="60">
        <f t="shared" si="7"/>
        <v>0</v>
      </c>
      <c r="F72" s="62">
        <f>IF(D72&gt;C72,D72-C72,0)</f>
        <v>0</v>
      </c>
    </row>
    <row r="73" spans="1:9" ht="18" customHeight="1" x14ac:dyDescent="0.25">
      <c r="A73" s="32">
        <v>261</v>
      </c>
      <c r="B73" s="33" t="s">
        <v>67</v>
      </c>
      <c r="C73" s="60" t="str">
        <f>IFERROR(VLOOKUP($A73,'CARİ DÖNEM MİZAN'!$A:$E,COLUMN()+0,0),"")</f>
        <v/>
      </c>
      <c r="D73" s="60" t="str">
        <f>IFERROR(VLOOKUP($A73,'CARİ DÖNEM MİZAN'!$A:$E,COLUMN()+0,0),"")</f>
        <v/>
      </c>
      <c r="E73" s="60">
        <f t="shared" si="7"/>
        <v>0</v>
      </c>
      <c r="F73" s="62">
        <f t="shared" ref="F73:F80" si="9">IF(D73&gt;C73,D73-C73,0)</f>
        <v>0</v>
      </c>
    </row>
    <row r="74" spans="1:9" ht="18" customHeight="1" x14ac:dyDescent="0.25">
      <c r="A74" s="32">
        <v>262</v>
      </c>
      <c r="B74" s="33" t="s">
        <v>68</v>
      </c>
      <c r="C74" s="60" t="str">
        <f>IFERROR(VLOOKUP($A74,'CARİ DÖNEM MİZAN'!$A:$E,COLUMN()+0,0),"")</f>
        <v/>
      </c>
      <c r="D74" s="60" t="str">
        <f>IFERROR(VLOOKUP($A74,'CARİ DÖNEM MİZAN'!$A:$E,COLUMN()+0,0),"")</f>
        <v/>
      </c>
      <c r="E74" s="60">
        <f t="shared" si="7"/>
        <v>0</v>
      </c>
      <c r="F74" s="62">
        <f t="shared" si="9"/>
        <v>0</v>
      </c>
    </row>
    <row r="75" spans="1:9" ht="18" customHeight="1" x14ac:dyDescent="0.25">
      <c r="A75" s="32">
        <v>263</v>
      </c>
      <c r="B75" s="33" t="s">
        <v>69</v>
      </c>
      <c r="C75" s="60" t="str">
        <f>IFERROR(VLOOKUP($A75,'CARİ DÖNEM MİZAN'!$A:$E,COLUMN()+0,0),"")</f>
        <v/>
      </c>
      <c r="D75" s="60" t="str">
        <f>IFERROR(VLOOKUP($A75,'CARİ DÖNEM MİZAN'!$A:$E,COLUMN()+0,0),"")</f>
        <v/>
      </c>
      <c r="E75" s="60">
        <f t="shared" si="7"/>
        <v>0</v>
      </c>
      <c r="F75" s="62">
        <f t="shared" si="9"/>
        <v>0</v>
      </c>
    </row>
    <row r="76" spans="1:9" ht="18" customHeight="1" x14ac:dyDescent="0.25">
      <c r="A76" s="32">
        <v>264</v>
      </c>
      <c r="B76" s="33" t="s">
        <v>70</v>
      </c>
      <c r="C76" s="60" t="str">
        <f>IFERROR(VLOOKUP($A76,'CARİ DÖNEM MİZAN'!$A:$E,COLUMN()+0,0),"")</f>
        <v/>
      </c>
      <c r="D76" s="60" t="str">
        <f>IFERROR(VLOOKUP($A76,'CARİ DÖNEM MİZAN'!$A:$E,COLUMN()+0,0),"")</f>
        <v/>
      </c>
      <c r="E76" s="60">
        <f t="shared" si="7"/>
        <v>0</v>
      </c>
      <c r="F76" s="62">
        <f t="shared" si="9"/>
        <v>0</v>
      </c>
    </row>
    <row r="77" spans="1:9" ht="18" customHeight="1" x14ac:dyDescent="0.25">
      <c r="A77" s="32">
        <v>265</v>
      </c>
      <c r="B77" s="33" t="s">
        <v>71</v>
      </c>
      <c r="C77" s="60" t="str">
        <f>IFERROR(VLOOKUP($A77,'CARİ DÖNEM MİZAN'!$A:$E,COLUMN()+0,0),"")</f>
        <v/>
      </c>
      <c r="D77" s="60" t="str">
        <f>IFERROR(VLOOKUP($A77,'CARİ DÖNEM MİZAN'!$A:$E,COLUMN()+0,0),"")</f>
        <v/>
      </c>
      <c r="E77" s="60">
        <f t="shared" si="7"/>
        <v>0</v>
      </c>
      <c r="F77" s="62">
        <f t="shared" si="9"/>
        <v>0</v>
      </c>
    </row>
    <row r="78" spans="1:9" ht="18" customHeight="1" x14ac:dyDescent="0.25">
      <c r="A78" s="32">
        <v>267</v>
      </c>
      <c r="B78" s="33" t="s">
        <v>72</v>
      </c>
      <c r="C78" s="60" t="str">
        <f>IFERROR(VLOOKUP($A78,'CARİ DÖNEM MİZAN'!$A:$E,COLUMN()+0,0),"")</f>
        <v/>
      </c>
      <c r="D78" s="60" t="str">
        <f>IFERROR(VLOOKUP($A78,'CARİ DÖNEM MİZAN'!$A:$E,COLUMN()+0,0),"")</f>
        <v/>
      </c>
      <c r="E78" s="60">
        <f t="shared" si="7"/>
        <v>0</v>
      </c>
      <c r="F78" s="62">
        <f t="shared" si="9"/>
        <v>0</v>
      </c>
    </row>
    <row r="79" spans="1:9" ht="18" customHeight="1" x14ac:dyDescent="0.25">
      <c r="A79" s="32">
        <v>268</v>
      </c>
      <c r="B79" s="33" t="s">
        <v>62</v>
      </c>
      <c r="C79" s="60" t="str">
        <f>IFERROR(VLOOKUP($A79,'CARİ DÖNEM MİZAN'!$A:$E,COLUMN()+0,0),"")</f>
        <v/>
      </c>
      <c r="D79" s="60" t="str">
        <f>IFERROR(VLOOKUP($A79,'CARİ DÖNEM MİZAN'!$A:$E,COLUMN()+0,0),"")</f>
        <v/>
      </c>
      <c r="E79" s="60">
        <f t="shared" si="7"/>
        <v>0</v>
      </c>
      <c r="F79" s="62">
        <f t="shared" si="9"/>
        <v>0</v>
      </c>
    </row>
    <row r="80" spans="1:9" ht="18" customHeight="1" x14ac:dyDescent="0.25">
      <c r="A80" s="32">
        <v>269</v>
      </c>
      <c r="B80" s="33" t="s">
        <v>73</v>
      </c>
      <c r="C80" s="60" t="str">
        <f>IFERROR(VLOOKUP($A80,'CARİ DÖNEM MİZAN'!$A:$E,COLUMN()+0,0),"")</f>
        <v/>
      </c>
      <c r="D80" s="60" t="str">
        <f>IFERROR(VLOOKUP($A80,'CARİ DÖNEM MİZAN'!$A:$E,COLUMN()+0,0),"")</f>
        <v/>
      </c>
      <c r="E80" s="60">
        <f t="shared" si="7"/>
        <v>0</v>
      </c>
      <c r="F80" s="62">
        <f t="shared" si="9"/>
        <v>0</v>
      </c>
    </row>
    <row r="81" spans="1:9" s="12" customFormat="1" ht="18" customHeight="1" x14ac:dyDescent="0.25">
      <c r="A81" s="34">
        <v>28</v>
      </c>
      <c r="B81" s="35" t="s">
        <v>74</v>
      </c>
      <c r="C81" s="63">
        <f>SUM(C82:C83)</f>
        <v>834570.07</v>
      </c>
      <c r="D81" s="63">
        <f>SUM(D82:D83)</f>
        <v>198667.63</v>
      </c>
      <c r="E81" s="63">
        <f>SUM(E82:E83)</f>
        <v>635902.43999999994</v>
      </c>
      <c r="F81" s="65">
        <f>SUM(F82:F83)</f>
        <v>0</v>
      </c>
      <c r="H81" s="13"/>
      <c r="I81" s="14"/>
    </row>
    <row r="82" spans="1:9" ht="18" customHeight="1" x14ac:dyDescent="0.25">
      <c r="A82" s="32">
        <v>280</v>
      </c>
      <c r="B82" s="33" t="s">
        <v>75</v>
      </c>
      <c r="C82" s="60">
        <f>IFERROR(VLOOKUP($A82,'CARİ DÖNEM MİZAN'!$A:$E,COLUMN()+0,0),"")</f>
        <v>834570.07</v>
      </c>
      <c r="D82" s="60">
        <f>IFERROR(VLOOKUP($A82,'CARİ DÖNEM MİZAN'!$A:$E,COLUMN()+0,0),"")</f>
        <v>198667.63</v>
      </c>
      <c r="E82" s="60">
        <f t="shared" si="7"/>
        <v>635902.43999999994</v>
      </c>
      <c r="F82" s="62">
        <f>IF(D82&gt;C82,D82-C82,0)</f>
        <v>0</v>
      </c>
    </row>
    <row r="83" spans="1:9" ht="18" customHeight="1" x14ac:dyDescent="0.25">
      <c r="A83" s="32">
        <v>281</v>
      </c>
      <c r="B83" s="33" t="s">
        <v>76</v>
      </c>
      <c r="C83" s="60" t="str">
        <f>IFERROR(VLOOKUP($A83,'CARİ DÖNEM MİZAN'!$A:$E,COLUMN()+0,0),"")</f>
        <v/>
      </c>
      <c r="D83" s="60" t="str">
        <f>IFERROR(VLOOKUP($A83,'CARİ DÖNEM MİZAN'!$A:$E,COLUMN()+0,0),"")</f>
        <v/>
      </c>
      <c r="E83" s="60">
        <f t="shared" si="7"/>
        <v>0</v>
      </c>
      <c r="F83" s="62">
        <f>IF(D83&gt;C83,D83-C83,0)</f>
        <v>0</v>
      </c>
    </row>
    <row r="84" spans="1:9" s="18" customFormat="1" ht="18" customHeight="1" x14ac:dyDescent="0.25">
      <c r="A84" s="36">
        <v>3</v>
      </c>
      <c r="B84" s="37" t="s">
        <v>77</v>
      </c>
      <c r="C84" s="66">
        <f>C85+C94+C101+C109+C112+C114+C119+C125</f>
        <v>33586598.079999998</v>
      </c>
      <c r="D84" s="66">
        <f t="shared" ref="D84:E84" si="10">D85+D94+D101+D109+D112+D114+D119+D125</f>
        <v>34837310.549999997</v>
      </c>
      <c r="E84" s="63">
        <f t="shared" si="10"/>
        <v>0</v>
      </c>
      <c r="F84" s="66">
        <f>SUM(F85+F94+F101+F109+F112+F114+F119+F125)</f>
        <v>1250712.4700000009</v>
      </c>
      <c r="H84" s="19"/>
      <c r="I84" s="20"/>
    </row>
    <row r="85" spans="1:9" s="12" customFormat="1" ht="18" customHeight="1" x14ac:dyDescent="0.25">
      <c r="A85" s="34">
        <v>30</v>
      </c>
      <c r="B85" s="35" t="s">
        <v>78</v>
      </c>
      <c r="C85" s="63">
        <f>SUM(C86:C93)</f>
        <v>0</v>
      </c>
      <c r="D85" s="63">
        <f>SUM(D86:D93)</f>
        <v>0</v>
      </c>
      <c r="E85" s="63">
        <f>SUM(E86:E93)</f>
        <v>0</v>
      </c>
      <c r="F85" s="65">
        <f>SUM(F86:F93)</f>
        <v>0</v>
      </c>
      <c r="H85" s="13"/>
      <c r="I85" s="14"/>
    </row>
    <row r="86" spans="1:9" ht="18" customHeight="1" x14ac:dyDescent="0.25">
      <c r="A86" s="32">
        <v>300</v>
      </c>
      <c r="B86" s="33" t="s">
        <v>79</v>
      </c>
      <c r="C86" s="60" t="str">
        <f>IFERROR(VLOOKUP($A86,'CARİ DÖNEM MİZAN'!$A:$E,COLUMN()+0,0),"")</f>
        <v/>
      </c>
      <c r="D86" s="60" t="str">
        <f>IFERROR(VLOOKUP($A86,'CARİ DÖNEM MİZAN'!$A:$E,COLUMN()+0,0),"")</f>
        <v/>
      </c>
      <c r="E86" s="60">
        <f t="shared" si="7"/>
        <v>0</v>
      </c>
      <c r="F86" s="62">
        <f>IF(D86&gt;C86,D86-C86,0)</f>
        <v>0</v>
      </c>
    </row>
    <row r="87" spans="1:9" ht="18" customHeight="1" x14ac:dyDescent="0.25">
      <c r="A87" s="32">
        <v>301</v>
      </c>
      <c r="B87" s="33" t="s">
        <v>80</v>
      </c>
      <c r="C87" s="60" t="str">
        <f>IFERROR(VLOOKUP($A87,'CARİ DÖNEM MİZAN'!$A:$E,COLUMN()+0,0),"")</f>
        <v/>
      </c>
      <c r="D87" s="60" t="str">
        <f>IFERROR(VLOOKUP($A87,'CARİ DÖNEM MİZAN'!$A:$E,COLUMN()+0,0),"")</f>
        <v/>
      </c>
      <c r="E87" s="60">
        <f t="shared" si="7"/>
        <v>0</v>
      </c>
      <c r="F87" s="62">
        <f t="shared" ref="F87:F93" si="11">IF(D87&gt;C87,D87-C87,0)</f>
        <v>0</v>
      </c>
    </row>
    <row r="88" spans="1:9" ht="18" customHeight="1" x14ac:dyDescent="0.25">
      <c r="A88" s="32">
        <v>303</v>
      </c>
      <c r="B88" s="33" t="s">
        <v>81</v>
      </c>
      <c r="C88" s="60" t="str">
        <f>IFERROR(VLOOKUP($A88,'CARİ DÖNEM MİZAN'!$A:$E,COLUMN()+0,0),"")</f>
        <v/>
      </c>
      <c r="D88" s="60" t="str">
        <f>IFERROR(VLOOKUP($A88,'CARİ DÖNEM MİZAN'!$A:$E,COLUMN()+0,0),"")</f>
        <v/>
      </c>
      <c r="E88" s="60">
        <f t="shared" si="7"/>
        <v>0</v>
      </c>
      <c r="F88" s="62">
        <f t="shared" si="11"/>
        <v>0</v>
      </c>
    </row>
    <row r="89" spans="1:9" ht="18" customHeight="1" x14ac:dyDescent="0.25">
      <c r="A89" s="32">
        <v>304</v>
      </c>
      <c r="B89" s="33" t="s">
        <v>82</v>
      </c>
      <c r="C89" s="60" t="str">
        <f>IFERROR(VLOOKUP($A89,'CARİ DÖNEM MİZAN'!$A:$E,COLUMN()+0,0),"")</f>
        <v/>
      </c>
      <c r="D89" s="60" t="str">
        <f>IFERROR(VLOOKUP($A89,'CARİ DÖNEM MİZAN'!$A:$E,COLUMN()+0,0),"")</f>
        <v/>
      </c>
      <c r="E89" s="60">
        <f t="shared" si="7"/>
        <v>0</v>
      </c>
      <c r="F89" s="62">
        <f t="shared" si="11"/>
        <v>0</v>
      </c>
    </row>
    <row r="90" spans="1:9" ht="18" customHeight="1" x14ac:dyDescent="0.25">
      <c r="A90" s="32">
        <v>305</v>
      </c>
      <c r="B90" s="33" t="s">
        <v>83</v>
      </c>
      <c r="C90" s="60" t="str">
        <f>IFERROR(VLOOKUP($A90,'CARİ DÖNEM MİZAN'!$A:$E,COLUMN()+0,0),"")</f>
        <v/>
      </c>
      <c r="D90" s="60" t="str">
        <f>IFERROR(VLOOKUP($A90,'CARİ DÖNEM MİZAN'!$A:$E,COLUMN()+0,0),"")</f>
        <v/>
      </c>
      <c r="E90" s="60">
        <f t="shared" si="7"/>
        <v>0</v>
      </c>
      <c r="F90" s="62">
        <f t="shared" si="11"/>
        <v>0</v>
      </c>
    </row>
    <row r="91" spans="1:9" ht="18" customHeight="1" x14ac:dyDescent="0.25">
      <c r="A91" s="32">
        <v>306</v>
      </c>
      <c r="B91" s="33" t="s">
        <v>84</v>
      </c>
      <c r="C91" s="60" t="str">
        <f>IFERROR(VLOOKUP($A91,'CARİ DÖNEM MİZAN'!$A:$E,COLUMN()+0,0),"")</f>
        <v/>
      </c>
      <c r="D91" s="60" t="str">
        <f>IFERROR(VLOOKUP($A91,'CARİ DÖNEM MİZAN'!$A:$E,COLUMN()+0,0),"")</f>
        <v/>
      </c>
      <c r="E91" s="60">
        <f t="shared" si="7"/>
        <v>0</v>
      </c>
      <c r="F91" s="62">
        <f t="shared" si="11"/>
        <v>0</v>
      </c>
    </row>
    <row r="92" spans="1:9" ht="18" customHeight="1" x14ac:dyDescent="0.25">
      <c r="A92" s="32">
        <v>308</v>
      </c>
      <c r="B92" s="33" t="s">
        <v>85</v>
      </c>
      <c r="C92" s="60" t="str">
        <f>IFERROR(VLOOKUP($A92,'CARİ DÖNEM MİZAN'!$A:$E,COLUMN()+0,0),"")</f>
        <v/>
      </c>
      <c r="D92" s="60" t="str">
        <f>IFERROR(VLOOKUP($A92,'CARİ DÖNEM MİZAN'!$A:$E,COLUMN()+0,0),"")</f>
        <v/>
      </c>
      <c r="E92" s="60">
        <f t="shared" si="7"/>
        <v>0</v>
      </c>
      <c r="F92" s="62">
        <f t="shared" si="11"/>
        <v>0</v>
      </c>
    </row>
    <row r="93" spans="1:9" ht="18" customHeight="1" x14ac:dyDescent="0.25">
      <c r="A93" s="32">
        <v>309</v>
      </c>
      <c r="B93" s="33" t="s">
        <v>86</v>
      </c>
      <c r="C93" s="60" t="str">
        <f>IFERROR(VLOOKUP($A93,'CARİ DÖNEM MİZAN'!$A:$E,COLUMN()+0,0),"")</f>
        <v/>
      </c>
      <c r="D93" s="60" t="str">
        <f>IFERROR(VLOOKUP($A93,'CARİ DÖNEM MİZAN'!$A:$E,COLUMN()+0,0),"")</f>
        <v/>
      </c>
      <c r="E93" s="60">
        <f t="shared" si="7"/>
        <v>0</v>
      </c>
      <c r="F93" s="62">
        <f t="shared" si="11"/>
        <v>0</v>
      </c>
    </row>
    <row r="94" spans="1:9" s="12" customFormat="1" ht="18" customHeight="1" x14ac:dyDescent="0.25">
      <c r="A94" s="34">
        <v>32</v>
      </c>
      <c r="B94" s="35" t="s">
        <v>87</v>
      </c>
      <c r="C94" s="63">
        <f>SUM(C95:C100)</f>
        <v>22187103.449999999</v>
      </c>
      <c r="D94" s="63">
        <f>SUM(D95:D100)</f>
        <v>23255421.5</v>
      </c>
      <c r="E94" s="63">
        <f>SUM(E95:E100)</f>
        <v>0</v>
      </c>
      <c r="F94" s="65">
        <f>SUM(F95:F100)</f>
        <v>1068318.0500000007</v>
      </c>
      <c r="H94" s="13"/>
      <c r="I94" s="14"/>
    </row>
    <row r="95" spans="1:9" ht="18" customHeight="1" x14ac:dyDescent="0.25">
      <c r="A95" s="32">
        <v>320</v>
      </c>
      <c r="B95" s="33" t="s">
        <v>88</v>
      </c>
      <c r="C95" s="60">
        <f>IFERROR(VLOOKUP($A95,'CARİ DÖNEM MİZAN'!$A:$E,COLUMN()+0,0),"")</f>
        <v>22187103.449999999</v>
      </c>
      <c r="D95" s="60">
        <f>IFERROR(VLOOKUP($A95,'CARİ DÖNEM MİZAN'!$A:$E,COLUMN()+0,0),"")</f>
        <v>23255421.5</v>
      </c>
      <c r="E95" s="60">
        <f t="shared" si="7"/>
        <v>0</v>
      </c>
      <c r="F95" s="62">
        <f t="shared" ref="F95:F100" si="12">IF(D95&gt;C95,D95-C95,0)</f>
        <v>1068318.0500000007</v>
      </c>
      <c r="H95" s="21"/>
    </row>
    <row r="96" spans="1:9" ht="18" customHeight="1" x14ac:dyDescent="0.25">
      <c r="A96" s="32">
        <v>321</v>
      </c>
      <c r="B96" s="33" t="s">
        <v>89</v>
      </c>
      <c r="C96" s="60" t="str">
        <f>IFERROR(VLOOKUP($A96,'CARİ DÖNEM MİZAN'!$A:$E,COLUMN()+0,0),"0")</f>
        <v>0</v>
      </c>
      <c r="D96" s="60" t="str">
        <f>IFERROR(VLOOKUP($A96,'CARİ DÖNEM MİZAN'!$A:$E,COLUMN()+0,0),"0")</f>
        <v>0</v>
      </c>
      <c r="E96" s="60">
        <f t="shared" si="7"/>
        <v>0</v>
      </c>
      <c r="F96" s="62">
        <f t="shared" si="12"/>
        <v>0</v>
      </c>
    </row>
    <row r="97" spans="1:9" ht="18" customHeight="1" x14ac:dyDescent="0.25">
      <c r="A97" s="32">
        <v>322</v>
      </c>
      <c r="B97" s="33" t="s">
        <v>90</v>
      </c>
      <c r="C97" s="60" t="str">
        <f>IFERROR(VLOOKUP($A97,'CARİ DÖNEM MİZAN'!$A:$E,COLUMN()+0,0),"0")</f>
        <v>0</v>
      </c>
      <c r="D97" s="60" t="str">
        <f>IFERROR(VLOOKUP($A97,'CARİ DÖNEM MİZAN'!$A:$E,COLUMN()+0,0),"0")</f>
        <v>0</v>
      </c>
      <c r="E97" s="60">
        <f t="shared" si="7"/>
        <v>0</v>
      </c>
      <c r="F97" s="62">
        <f t="shared" si="12"/>
        <v>0</v>
      </c>
    </row>
    <row r="98" spans="1:9" ht="18" customHeight="1" x14ac:dyDescent="0.25">
      <c r="A98" s="32">
        <v>323</v>
      </c>
      <c r="B98" s="33" t="s">
        <v>91</v>
      </c>
      <c r="C98" s="60" t="str">
        <f>IFERROR(VLOOKUP($A98,'CARİ DÖNEM MİZAN'!$A:$E,COLUMN()+0,0),"0")</f>
        <v>0</v>
      </c>
      <c r="D98" s="60" t="str">
        <f>IFERROR(VLOOKUP($A98,'CARİ DÖNEM MİZAN'!$A:$E,COLUMN()+0,0),"0")</f>
        <v>0</v>
      </c>
      <c r="E98" s="60">
        <f t="shared" si="7"/>
        <v>0</v>
      </c>
      <c r="F98" s="62">
        <f t="shared" si="12"/>
        <v>0</v>
      </c>
    </row>
    <row r="99" spans="1:9" ht="18" customHeight="1" x14ac:dyDescent="0.25">
      <c r="A99" s="32">
        <v>326</v>
      </c>
      <c r="B99" s="33" t="s">
        <v>92</v>
      </c>
      <c r="C99" s="60" t="str">
        <f>IFERROR(VLOOKUP($A99,'CARİ DÖNEM MİZAN'!$A:$E,COLUMN()+0,0),"0")</f>
        <v>0</v>
      </c>
      <c r="D99" s="60" t="str">
        <f>IFERROR(VLOOKUP($A99,'CARİ DÖNEM MİZAN'!$A:$E,COLUMN()+0,0),"0")</f>
        <v>0</v>
      </c>
      <c r="E99" s="60">
        <f t="shared" si="7"/>
        <v>0</v>
      </c>
      <c r="F99" s="62">
        <f t="shared" si="12"/>
        <v>0</v>
      </c>
    </row>
    <row r="100" spans="1:9" ht="18" customHeight="1" x14ac:dyDescent="0.25">
      <c r="A100" s="32">
        <v>329</v>
      </c>
      <c r="B100" s="33" t="s">
        <v>93</v>
      </c>
      <c r="C100" s="60" t="str">
        <f>IFERROR(VLOOKUP($A100,'CARİ DÖNEM MİZAN'!$A:$E,COLUMN()+0,0),"0")</f>
        <v>0</v>
      </c>
      <c r="D100" s="60" t="str">
        <f>IFERROR(VLOOKUP($A100,'CARİ DÖNEM MİZAN'!$A:$E,COLUMN()+0,0),"0")</f>
        <v>0</v>
      </c>
      <c r="E100" s="60">
        <f t="shared" si="7"/>
        <v>0</v>
      </c>
      <c r="F100" s="62">
        <f t="shared" si="12"/>
        <v>0</v>
      </c>
    </row>
    <row r="101" spans="1:9" s="12" customFormat="1" ht="18" customHeight="1" x14ac:dyDescent="0.25">
      <c r="A101" s="34">
        <v>33</v>
      </c>
      <c r="B101" s="35" t="s">
        <v>94</v>
      </c>
      <c r="C101" s="63">
        <f>SUM(C102:C108)</f>
        <v>7135531.8999999994</v>
      </c>
      <c r="D101" s="63">
        <f>SUM(D102:D108)</f>
        <v>7135531.8999999994</v>
      </c>
      <c r="E101" s="63">
        <f>SUM(E102:E108)</f>
        <v>0</v>
      </c>
      <c r="F101" s="65">
        <f>SUM(F102:F108)</f>
        <v>0</v>
      </c>
      <c r="H101" s="13"/>
      <c r="I101" s="14"/>
    </row>
    <row r="102" spans="1:9" ht="18" customHeight="1" x14ac:dyDescent="0.25">
      <c r="A102" s="32">
        <v>330</v>
      </c>
      <c r="B102" s="33" t="s">
        <v>95</v>
      </c>
      <c r="C102" s="60" t="str">
        <f>IFERROR(VLOOKUP($A102,'CARİ DÖNEM MİZAN'!$A:$E,COLUMN()+0,0),"")</f>
        <v/>
      </c>
      <c r="D102" s="60" t="str">
        <f>IFERROR(VLOOKUP($A102,'CARİ DÖNEM MİZAN'!$A:$E,COLUMN()+0,0),"")</f>
        <v/>
      </c>
      <c r="E102" s="60">
        <f t="shared" si="7"/>
        <v>0</v>
      </c>
      <c r="F102" s="62">
        <f>IF(D102&gt;C102,D102-C102,0)</f>
        <v>0</v>
      </c>
    </row>
    <row r="103" spans="1:9" ht="18" customHeight="1" x14ac:dyDescent="0.25">
      <c r="A103" s="32">
        <v>331</v>
      </c>
      <c r="B103" s="33" t="s">
        <v>96</v>
      </c>
      <c r="C103" s="60">
        <f>IFERROR(VLOOKUP($A103,'CARİ DÖNEM MİZAN'!$A:$E,COLUMN()+0,0),"")</f>
        <v>7063206.7699999996</v>
      </c>
      <c r="D103" s="60">
        <f>IFERROR(VLOOKUP($A103,'CARİ DÖNEM MİZAN'!$A:$E,COLUMN()+0,0),"")</f>
        <v>7063206.7699999996</v>
      </c>
      <c r="E103" s="60">
        <f t="shared" si="7"/>
        <v>0</v>
      </c>
      <c r="F103" s="62">
        <f t="shared" ref="F103:F108" si="13">IF(D103&gt;C103,D103-C103,0)</f>
        <v>0</v>
      </c>
    </row>
    <row r="104" spans="1:9" ht="18" customHeight="1" x14ac:dyDescent="0.25">
      <c r="A104" s="32">
        <v>332</v>
      </c>
      <c r="B104" s="33" t="s">
        <v>97</v>
      </c>
      <c r="C104" s="60" t="str">
        <f>IFERROR(VLOOKUP($A104,'CARİ DÖNEM MİZAN'!$A:$E,COLUMN()+0,0),"")</f>
        <v/>
      </c>
      <c r="D104" s="60" t="str">
        <f>IFERROR(VLOOKUP($A104,'CARİ DÖNEM MİZAN'!$A:$E,COLUMN()+0,0),"")</f>
        <v/>
      </c>
      <c r="E104" s="60">
        <f t="shared" si="7"/>
        <v>0</v>
      </c>
      <c r="F104" s="62">
        <f t="shared" si="13"/>
        <v>0</v>
      </c>
    </row>
    <row r="105" spans="1:9" ht="18" customHeight="1" x14ac:dyDescent="0.25">
      <c r="A105" s="32">
        <v>333</v>
      </c>
      <c r="B105" s="33" t="s">
        <v>98</v>
      </c>
      <c r="C105" s="60" t="str">
        <f>IFERROR(VLOOKUP($A105,'CARİ DÖNEM MİZAN'!$A:$E,COLUMN()+0,0),"")</f>
        <v/>
      </c>
      <c r="D105" s="60" t="str">
        <f>IFERROR(VLOOKUP($A105,'CARİ DÖNEM MİZAN'!$A:$E,COLUMN()+0,0),"")</f>
        <v/>
      </c>
      <c r="E105" s="60">
        <f t="shared" si="7"/>
        <v>0</v>
      </c>
      <c r="F105" s="62">
        <f t="shared" si="13"/>
        <v>0</v>
      </c>
    </row>
    <row r="106" spans="1:9" ht="18" customHeight="1" x14ac:dyDescent="0.25">
      <c r="A106" s="32">
        <v>335</v>
      </c>
      <c r="B106" s="33" t="s">
        <v>99</v>
      </c>
      <c r="C106" s="60">
        <f>IFERROR(VLOOKUP($A106,'CARİ DÖNEM MİZAN'!$A:$E,COLUMN()+0,0),"")</f>
        <v>72325.13</v>
      </c>
      <c r="D106" s="60">
        <f>IFERROR(VLOOKUP($A106,'CARİ DÖNEM MİZAN'!$A:$E,COLUMN()+0,0),"")</f>
        <v>72325.13</v>
      </c>
      <c r="E106" s="60">
        <f t="shared" si="7"/>
        <v>0</v>
      </c>
      <c r="F106" s="62">
        <f t="shared" si="13"/>
        <v>0</v>
      </c>
    </row>
    <row r="107" spans="1:9" ht="18" customHeight="1" x14ac:dyDescent="0.25">
      <c r="A107" s="32">
        <v>336</v>
      </c>
      <c r="B107" s="33" t="s">
        <v>100</v>
      </c>
      <c r="C107" s="60" t="str">
        <f>IFERROR(VLOOKUP($A107,'CARİ DÖNEM MİZAN'!$A:$E,COLUMN()+0,0),"")</f>
        <v/>
      </c>
      <c r="D107" s="60" t="str">
        <f>IFERROR(VLOOKUP($A107,'CARİ DÖNEM MİZAN'!$A:$E,COLUMN()+0,0),"")</f>
        <v/>
      </c>
      <c r="E107" s="60">
        <f t="shared" si="7"/>
        <v>0</v>
      </c>
      <c r="F107" s="62">
        <f t="shared" si="13"/>
        <v>0</v>
      </c>
    </row>
    <row r="108" spans="1:9" ht="18" customHeight="1" x14ac:dyDescent="0.25">
      <c r="A108" s="32">
        <v>337</v>
      </c>
      <c r="B108" s="33" t="s">
        <v>101</v>
      </c>
      <c r="C108" s="60" t="str">
        <f>IFERROR(VLOOKUP($A108,'CARİ DÖNEM MİZAN'!$A:$E,COLUMN()+0,0),"")</f>
        <v/>
      </c>
      <c r="D108" s="60" t="str">
        <f>IFERROR(VLOOKUP($A108,'CARİ DÖNEM MİZAN'!$A:$E,COLUMN()+0,0),"")</f>
        <v/>
      </c>
      <c r="E108" s="60">
        <f t="shared" si="7"/>
        <v>0</v>
      </c>
      <c r="F108" s="62">
        <f t="shared" si="13"/>
        <v>0</v>
      </c>
    </row>
    <row r="109" spans="1:9" s="12" customFormat="1" ht="18" customHeight="1" x14ac:dyDescent="0.25">
      <c r="A109" s="34">
        <v>34</v>
      </c>
      <c r="B109" s="35" t="s">
        <v>102</v>
      </c>
      <c r="C109" s="63">
        <f>SUM(C110:C111)</f>
        <v>0</v>
      </c>
      <c r="D109" s="63">
        <f>SUM(D110:D111)</f>
        <v>0</v>
      </c>
      <c r="E109" s="63">
        <f>SUM(E110:E111)</f>
        <v>0</v>
      </c>
      <c r="F109" s="65">
        <f>SUM(F110:F111)</f>
        <v>0</v>
      </c>
      <c r="H109" s="13"/>
      <c r="I109" s="14"/>
    </row>
    <row r="110" spans="1:9" ht="18" customHeight="1" x14ac:dyDescent="0.25">
      <c r="A110" s="32">
        <v>340</v>
      </c>
      <c r="B110" s="33" t="s">
        <v>103</v>
      </c>
      <c r="C110" s="60" t="str">
        <f>IFERROR(VLOOKUP($A110,'CARİ DÖNEM MİZAN'!$A:$E,COLUMN()+0,0),"")</f>
        <v/>
      </c>
      <c r="D110" s="60" t="str">
        <f>IFERROR(VLOOKUP($A110,'CARİ DÖNEM MİZAN'!$A:$E,COLUMN()+0,0),"")</f>
        <v/>
      </c>
      <c r="E110" s="60">
        <f t="shared" si="7"/>
        <v>0</v>
      </c>
      <c r="F110" s="62">
        <f>IF(D110&gt;C110,D110-C110,0)</f>
        <v>0</v>
      </c>
    </row>
    <row r="111" spans="1:9" ht="18" customHeight="1" x14ac:dyDescent="0.25">
      <c r="A111" s="32">
        <v>349</v>
      </c>
      <c r="B111" s="33" t="s">
        <v>104</v>
      </c>
      <c r="C111" s="60" t="str">
        <f>IFERROR(VLOOKUP($A111,'CARİ DÖNEM MİZAN'!$A:$E,COLUMN()+0,0),"")</f>
        <v/>
      </c>
      <c r="D111" s="60" t="str">
        <f>IFERROR(VLOOKUP($A111,'CARİ DÖNEM MİZAN'!$A:$E,COLUMN()+0,0),"")</f>
        <v/>
      </c>
      <c r="E111" s="60">
        <f t="shared" si="7"/>
        <v>0</v>
      </c>
      <c r="F111" s="62">
        <f>IF(D111&gt;C111,D111-C111,0)</f>
        <v>0</v>
      </c>
    </row>
    <row r="112" spans="1:9" ht="18" customHeight="1" x14ac:dyDescent="0.25">
      <c r="A112" s="47">
        <v>35</v>
      </c>
      <c r="B112" s="49" t="s">
        <v>257</v>
      </c>
      <c r="C112" s="57">
        <f>SUM(C113)</f>
        <v>0</v>
      </c>
      <c r="D112" s="57">
        <f t="shared" ref="D112:F112" si="14">SUM(D113)</f>
        <v>0</v>
      </c>
      <c r="E112" s="57">
        <f t="shared" si="14"/>
        <v>0</v>
      </c>
      <c r="F112" s="57">
        <f t="shared" si="14"/>
        <v>0</v>
      </c>
    </row>
    <row r="113" spans="1:9" ht="18" customHeight="1" x14ac:dyDescent="0.25">
      <c r="A113" s="32">
        <v>350</v>
      </c>
      <c r="B113" s="50" t="s">
        <v>250</v>
      </c>
      <c r="C113" s="60" t="str">
        <f>IFERROR(VLOOKUP($A113,'CARİ DÖNEM MİZAN'!$A:$E,COLUMN()+0,0),"")</f>
        <v/>
      </c>
      <c r="D113" s="60" t="str">
        <f>IFERROR(VLOOKUP($A113,'CARİ DÖNEM MİZAN'!$A:$E,COLUMN()+0,0),"")</f>
        <v/>
      </c>
      <c r="E113" s="60">
        <f t="shared" si="7"/>
        <v>0</v>
      </c>
      <c r="F113" s="62">
        <f>IF(D113&gt;C113,D113-C113,0)</f>
        <v>0</v>
      </c>
    </row>
    <row r="114" spans="1:9" s="12" customFormat="1" ht="18" customHeight="1" x14ac:dyDescent="0.25">
      <c r="A114" s="34">
        <v>36</v>
      </c>
      <c r="B114" s="35" t="s">
        <v>105</v>
      </c>
      <c r="C114" s="63">
        <f>SUM(C115:C118)</f>
        <v>1059.3399999999999</v>
      </c>
      <c r="D114" s="63">
        <f>SUM(D115:D118)</f>
        <v>85510.19</v>
      </c>
      <c r="E114" s="63">
        <f>SUM(E115:E118)</f>
        <v>0</v>
      </c>
      <c r="F114" s="65">
        <f>SUM(F115:F118)</f>
        <v>84450.85</v>
      </c>
      <c r="H114" s="13"/>
      <c r="I114" s="14"/>
    </row>
    <row r="115" spans="1:9" ht="18" customHeight="1" x14ac:dyDescent="0.25">
      <c r="A115" s="32">
        <v>360</v>
      </c>
      <c r="B115" s="33" t="s">
        <v>106</v>
      </c>
      <c r="C115" s="60">
        <f>IFERROR(VLOOKUP($A115,'CARİ DÖNEM MİZAN'!$A:$E,COLUMN()+0,0),"")</f>
        <v>0</v>
      </c>
      <c r="D115" s="60">
        <f>IFERROR(VLOOKUP($A115,'CARİ DÖNEM MİZAN'!$A:$E,COLUMN()+0,0),"")</f>
        <v>37166.229999999996</v>
      </c>
      <c r="E115" s="60">
        <f t="shared" si="7"/>
        <v>0</v>
      </c>
      <c r="F115" s="62">
        <f>IF(D115&gt;C115,D115-C115,0)</f>
        <v>37166.229999999996</v>
      </c>
    </row>
    <row r="116" spans="1:9" ht="18" customHeight="1" x14ac:dyDescent="0.25">
      <c r="A116" s="32">
        <v>361</v>
      </c>
      <c r="B116" s="33" t="s">
        <v>107</v>
      </c>
      <c r="C116" s="60">
        <f>IFERROR(VLOOKUP($A116,'CARİ DÖNEM MİZAN'!$A:$E,COLUMN()+0,0),"")</f>
        <v>1059.3399999999999</v>
      </c>
      <c r="D116" s="60">
        <f>IFERROR(VLOOKUP($A116,'CARİ DÖNEM MİZAN'!$A:$E,COLUMN()+0,0),"")</f>
        <v>48343.96</v>
      </c>
      <c r="E116" s="60">
        <f t="shared" si="7"/>
        <v>0</v>
      </c>
      <c r="F116" s="62">
        <f>IF(D116&gt;C116,D116-C116,0)</f>
        <v>47284.62</v>
      </c>
    </row>
    <row r="117" spans="1:9" ht="18" customHeight="1" x14ac:dyDescent="0.25">
      <c r="A117" s="32">
        <v>368</v>
      </c>
      <c r="B117" s="33" t="s">
        <v>108</v>
      </c>
      <c r="C117" s="60" t="str">
        <f>IFERROR(VLOOKUP($A117,'CARİ DÖNEM MİZAN'!$A:$E,COLUMN()+0,0),"")</f>
        <v/>
      </c>
      <c r="D117" s="60" t="str">
        <f>IFERROR(VLOOKUP($A117,'CARİ DÖNEM MİZAN'!$A:$E,COLUMN()+0,0),"")</f>
        <v/>
      </c>
      <c r="E117" s="60">
        <f t="shared" si="7"/>
        <v>0</v>
      </c>
      <c r="F117" s="62">
        <f>IF(D117&gt;C117,D117-C117,0)</f>
        <v>0</v>
      </c>
    </row>
    <row r="118" spans="1:9" ht="18" customHeight="1" x14ac:dyDescent="0.25">
      <c r="A118" s="32">
        <v>369</v>
      </c>
      <c r="B118" s="33" t="s">
        <v>109</v>
      </c>
      <c r="C118" s="60" t="str">
        <f>IFERROR(VLOOKUP($A118,'CARİ DÖNEM MİZAN'!$A:$E,COLUMN()+0,0),"")</f>
        <v/>
      </c>
      <c r="D118" s="60" t="str">
        <f>IFERROR(VLOOKUP($A118,'CARİ DÖNEM MİZAN'!$A:$E,COLUMN()+0,0),"")</f>
        <v/>
      </c>
      <c r="E118" s="60">
        <f t="shared" si="7"/>
        <v>0</v>
      </c>
      <c r="F118" s="62">
        <f>IF(D118&gt;C118,D118-C118,0)</f>
        <v>0</v>
      </c>
    </row>
    <row r="119" spans="1:9" s="12" customFormat="1" ht="18" customHeight="1" x14ac:dyDescent="0.25">
      <c r="A119" s="34">
        <v>37</v>
      </c>
      <c r="B119" s="35" t="s">
        <v>110</v>
      </c>
      <c r="C119" s="63">
        <f>SUM(C120:C124)</f>
        <v>5390.42</v>
      </c>
      <c r="D119" s="63">
        <f>SUM(D120:D124)</f>
        <v>103333.99</v>
      </c>
      <c r="E119" s="67">
        <f>SUM(E120:E124)</f>
        <v>0</v>
      </c>
      <c r="F119" s="65">
        <f>SUM(F120:F124)-E119</f>
        <v>97943.57</v>
      </c>
      <c r="H119" s="13"/>
      <c r="I119" s="14"/>
    </row>
    <row r="120" spans="1:9" ht="18" customHeight="1" x14ac:dyDescent="0.25">
      <c r="A120" s="32">
        <v>370</v>
      </c>
      <c r="B120" s="33" t="s">
        <v>111</v>
      </c>
      <c r="C120" s="60">
        <f>IFERROR(VLOOKUP($A120,'CARİ DÖNEM MİZAN'!$A:$E,COLUMN()+0,0),"")</f>
        <v>2541.81</v>
      </c>
      <c r="D120" s="60">
        <f>IFERROR(VLOOKUP($A120,'CARİ DÖNEM MİZAN'!$A:$E,COLUMN()+0,0),"")</f>
        <v>100485.38</v>
      </c>
      <c r="E120" s="60">
        <f t="shared" si="7"/>
        <v>0</v>
      </c>
      <c r="F120" s="62">
        <f>IF(D120&gt;C120,D120-C120,0)</f>
        <v>97943.57</v>
      </c>
    </row>
    <row r="121" spans="1:9" ht="18" customHeight="1" x14ac:dyDescent="0.25">
      <c r="A121" s="32">
        <v>371</v>
      </c>
      <c r="B121" s="33" t="s">
        <v>112</v>
      </c>
      <c r="C121" s="60">
        <f>IFERROR(VLOOKUP($A121,'CARİ DÖNEM MİZAN'!$A:$E,COLUMN()+0,0),"")</f>
        <v>2848.61</v>
      </c>
      <c r="D121" s="60">
        <f>IFERROR(VLOOKUP($A121,'CARİ DÖNEM MİZAN'!$A:$E,COLUMN()+0,0),"")</f>
        <v>2848.61</v>
      </c>
      <c r="E121" s="60">
        <f t="shared" si="7"/>
        <v>0</v>
      </c>
      <c r="F121" s="62">
        <f>IF(D121&gt;C121,D121-C121,0)</f>
        <v>0</v>
      </c>
    </row>
    <row r="122" spans="1:9" ht="18" customHeight="1" x14ac:dyDescent="0.25">
      <c r="A122" s="32">
        <v>372</v>
      </c>
      <c r="B122" s="33" t="s">
        <v>113</v>
      </c>
      <c r="C122" s="60" t="str">
        <f>IFERROR(VLOOKUP($A122,'CARİ DÖNEM MİZAN'!$A:$E,COLUMN()+0,0),"")</f>
        <v/>
      </c>
      <c r="D122" s="60" t="str">
        <f>IFERROR(VLOOKUP($A122,'CARİ DÖNEM MİZAN'!$A:$E,COLUMN()+0,0),"")</f>
        <v/>
      </c>
      <c r="E122" s="60">
        <f t="shared" si="7"/>
        <v>0</v>
      </c>
      <c r="F122" s="62">
        <f>IF(D122&gt;C122,D122-C122,0)</f>
        <v>0</v>
      </c>
    </row>
    <row r="123" spans="1:9" ht="18" customHeight="1" x14ac:dyDescent="0.25">
      <c r="A123" s="32">
        <v>373</v>
      </c>
      <c r="B123" s="33" t="s">
        <v>114</v>
      </c>
      <c r="C123" s="60" t="str">
        <f>IFERROR(VLOOKUP($A123,'CARİ DÖNEM MİZAN'!$A:$E,COLUMN()+0,0),"")</f>
        <v/>
      </c>
      <c r="D123" s="60" t="str">
        <f>IFERROR(VLOOKUP($A123,'CARİ DÖNEM MİZAN'!$A:$E,COLUMN()+0,0),"")</f>
        <v/>
      </c>
      <c r="E123" s="60">
        <f t="shared" si="7"/>
        <v>0</v>
      </c>
      <c r="F123" s="62">
        <f>IF(D123&gt;C123,D123-C123,0)</f>
        <v>0</v>
      </c>
    </row>
    <row r="124" spans="1:9" ht="18" customHeight="1" x14ac:dyDescent="0.25">
      <c r="A124" s="32">
        <v>379</v>
      </c>
      <c r="B124" s="33" t="s">
        <v>115</v>
      </c>
      <c r="C124" s="60" t="str">
        <f>IFERROR(VLOOKUP($A124,'CARİ DÖNEM MİZAN'!$A:$E,COLUMN()+0,0),"")</f>
        <v/>
      </c>
      <c r="D124" s="60" t="str">
        <f>IFERROR(VLOOKUP($A124,'CARİ DÖNEM MİZAN'!$A:$E,COLUMN()+0,0),"")</f>
        <v/>
      </c>
      <c r="E124" s="60">
        <f t="shared" si="7"/>
        <v>0</v>
      </c>
      <c r="F124" s="62">
        <f>IF(D124&gt;C124,D124-C124,0)</f>
        <v>0</v>
      </c>
    </row>
    <row r="125" spans="1:9" s="12" customFormat="1" ht="18" customHeight="1" x14ac:dyDescent="0.25">
      <c r="A125" s="34">
        <v>39</v>
      </c>
      <c r="B125" s="35" t="s">
        <v>116</v>
      </c>
      <c r="C125" s="63">
        <f>SUM(C126:C130)</f>
        <v>4257512.97</v>
      </c>
      <c r="D125" s="63">
        <f>SUM(D126:D130)</f>
        <v>4257512.97</v>
      </c>
      <c r="E125" s="63">
        <f>SUM(E126:E130)</f>
        <v>0</v>
      </c>
      <c r="F125" s="65">
        <f>SUM(F126:F130)</f>
        <v>0</v>
      </c>
      <c r="H125" s="13"/>
      <c r="I125" s="14"/>
    </row>
    <row r="126" spans="1:9" ht="18" customHeight="1" x14ac:dyDescent="0.25">
      <c r="A126" s="32">
        <v>391</v>
      </c>
      <c r="B126" s="33" t="s">
        <v>117</v>
      </c>
      <c r="C126" s="60">
        <f>IFERROR(VLOOKUP($A126,'CARİ DÖNEM MİZAN'!$A:$E,COLUMN()+0,0),"")</f>
        <v>4257512.97</v>
      </c>
      <c r="D126" s="60">
        <f>IFERROR(VLOOKUP($A126,'CARİ DÖNEM MİZAN'!$A:$E,COLUMN()+0,0),"")</f>
        <v>4257512.97</v>
      </c>
      <c r="E126" s="60">
        <f t="shared" si="7"/>
        <v>0</v>
      </c>
      <c r="F126" s="62">
        <f>IF(D126&gt;C126,D126-C126,0)</f>
        <v>0</v>
      </c>
    </row>
    <row r="127" spans="1:9" ht="18" customHeight="1" x14ac:dyDescent="0.25">
      <c r="A127" s="32">
        <v>392</v>
      </c>
      <c r="B127" s="33" t="s">
        <v>118</v>
      </c>
      <c r="C127" s="60" t="str">
        <f>IFERROR(VLOOKUP($A127,'CARİ DÖNEM MİZAN'!$A:$E,COLUMN()+0,0),"")</f>
        <v/>
      </c>
      <c r="D127" s="60" t="str">
        <f>IFERROR(VLOOKUP($A127,'CARİ DÖNEM MİZAN'!$A:$E,COLUMN()+0,0),"")</f>
        <v/>
      </c>
      <c r="E127" s="60">
        <f t="shared" ref="E127:E173" si="15">IF(C127&gt;D127,C127-D127,0)</f>
        <v>0</v>
      </c>
      <c r="F127" s="62">
        <f>IF(D127&gt;C127,D127-C127,0)</f>
        <v>0</v>
      </c>
    </row>
    <row r="128" spans="1:9" ht="18" customHeight="1" x14ac:dyDescent="0.25">
      <c r="A128" s="32">
        <v>393</v>
      </c>
      <c r="B128" s="33" t="s">
        <v>119</v>
      </c>
      <c r="C128" s="60" t="str">
        <f>IFERROR(VLOOKUP($A128,'CARİ DÖNEM MİZAN'!$A:$E,COLUMN()+0,0),"")</f>
        <v/>
      </c>
      <c r="D128" s="60" t="str">
        <f>IFERROR(VLOOKUP($A128,'CARİ DÖNEM MİZAN'!$A:$E,COLUMN()+0,0),"")</f>
        <v/>
      </c>
      <c r="E128" s="60">
        <f t="shared" si="15"/>
        <v>0</v>
      </c>
      <c r="F128" s="62">
        <f>IF(D128&gt;C128,D128-C128,0)</f>
        <v>0</v>
      </c>
    </row>
    <row r="129" spans="1:9" ht="18" customHeight="1" x14ac:dyDescent="0.25">
      <c r="A129" s="32">
        <v>397</v>
      </c>
      <c r="B129" s="33" t="s">
        <v>120</v>
      </c>
      <c r="C129" s="60" t="str">
        <f>IFERROR(VLOOKUP($A129,'CARİ DÖNEM MİZAN'!$A:$E,COLUMN()+0,0),"")</f>
        <v/>
      </c>
      <c r="D129" s="60" t="str">
        <f>IFERROR(VLOOKUP($A129,'CARİ DÖNEM MİZAN'!$A:$E,COLUMN()+0,0),"")</f>
        <v/>
      </c>
      <c r="E129" s="60">
        <f t="shared" si="15"/>
        <v>0</v>
      </c>
      <c r="F129" s="62">
        <f>IF(D129&gt;C129,D129-C129,0)</f>
        <v>0</v>
      </c>
    </row>
    <row r="130" spans="1:9" ht="18" customHeight="1" x14ac:dyDescent="0.25">
      <c r="A130" s="32">
        <v>399</v>
      </c>
      <c r="B130" s="33" t="s">
        <v>121</v>
      </c>
      <c r="C130" s="60" t="str">
        <f>IFERROR(VLOOKUP($A130,'CARİ DÖNEM MİZAN'!$A:$E,COLUMN()+0,0),"")</f>
        <v/>
      </c>
      <c r="D130" s="60" t="str">
        <f>IFERROR(VLOOKUP($A130,'CARİ DÖNEM MİZAN'!$A:$E,COLUMN()+0,0),"")</f>
        <v/>
      </c>
      <c r="E130" s="60">
        <f t="shared" si="15"/>
        <v>0</v>
      </c>
      <c r="F130" s="62">
        <f>IF(D130&gt;C130,D130-C130,0)</f>
        <v>0</v>
      </c>
    </row>
    <row r="131" spans="1:9" s="18" customFormat="1" ht="18" customHeight="1" x14ac:dyDescent="0.25">
      <c r="A131" s="36">
        <v>4</v>
      </c>
      <c r="B131" s="37" t="s">
        <v>122</v>
      </c>
      <c r="C131" s="66">
        <f>C132+C140+C149+C152+C147</f>
        <v>0</v>
      </c>
      <c r="D131" s="66">
        <f t="shared" ref="D131:F131" si="16">D132+D140+D149+D152+D147</f>
        <v>0</v>
      </c>
      <c r="E131" s="66">
        <f t="shared" si="16"/>
        <v>0</v>
      </c>
      <c r="F131" s="66">
        <f t="shared" si="16"/>
        <v>0</v>
      </c>
      <c r="H131" s="19"/>
      <c r="I131" s="20"/>
    </row>
    <row r="132" spans="1:9" s="12" customFormat="1" ht="18" customHeight="1" x14ac:dyDescent="0.25">
      <c r="A132" s="34">
        <v>40</v>
      </c>
      <c r="B132" s="35" t="s">
        <v>78</v>
      </c>
      <c r="C132" s="63">
        <f>SUM(C133:C139)</f>
        <v>0</v>
      </c>
      <c r="D132" s="63">
        <f>SUM(D133:D139)</f>
        <v>0</v>
      </c>
      <c r="E132" s="63">
        <f>SUM(E133:E139)</f>
        <v>0</v>
      </c>
      <c r="F132" s="65">
        <f>SUM(F133:F139)</f>
        <v>0</v>
      </c>
      <c r="H132" s="13"/>
      <c r="I132" s="14"/>
    </row>
    <row r="133" spans="1:9" ht="18" customHeight="1" x14ac:dyDescent="0.25">
      <c r="A133" s="32">
        <v>400</v>
      </c>
      <c r="B133" s="33" t="s">
        <v>79</v>
      </c>
      <c r="C133" s="60" t="str">
        <f>IFERROR(VLOOKUP($A133,'CARİ DÖNEM MİZAN'!$A:$E,COLUMN()+0,0),"0")</f>
        <v>0</v>
      </c>
      <c r="D133" s="60" t="str">
        <f>IFERROR(VLOOKUP($A133,'CARİ DÖNEM MİZAN'!$A:$E,COLUMN()+0,0),"0")</f>
        <v>0</v>
      </c>
      <c r="E133" s="60">
        <f t="shared" si="15"/>
        <v>0</v>
      </c>
      <c r="F133" s="62">
        <f>IF(D133&gt;C133,D133-C133,0)</f>
        <v>0</v>
      </c>
    </row>
    <row r="134" spans="1:9" ht="18" customHeight="1" x14ac:dyDescent="0.25">
      <c r="A134" s="32">
        <v>401</v>
      </c>
      <c r="B134" s="33" t="s">
        <v>80</v>
      </c>
      <c r="C134" s="60" t="str">
        <f>IFERROR(VLOOKUP($A134,'CARİ DÖNEM MİZAN'!$A:$E,COLUMN()+0,0),"0")</f>
        <v>0</v>
      </c>
      <c r="D134" s="60" t="str">
        <f>IFERROR(VLOOKUP($A134,'CARİ DÖNEM MİZAN'!$A:$E,COLUMN()+0,0),"0")</f>
        <v>0</v>
      </c>
      <c r="E134" s="60">
        <f t="shared" si="15"/>
        <v>0</v>
      </c>
      <c r="F134" s="62">
        <f t="shared" ref="F134:F139" si="17">IF(D134&gt;C134,D134-C134,0)</f>
        <v>0</v>
      </c>
    </row>
    <row r="135" spans="1:9" ht="18" customHeight="1" x14ac:dyDescent="0.25">
      <c r="A135" s="32">
        <v>402</v>
      </c>
      <c r="B135" s="33" t="s">
        <v>123</v>
      </c>
      <c r="C135" s="60" t="str">
        <f>IFERROR(VLOOKUP($A135,'CARİ DÖNEM MİZAN'!$A:$E,COLUMN()+0,0),"0")</f>
        <v>0</v>
      </c>
      <c r="D135" s="60" t="str">
        <f>IFERROR(VLOOKUP($A135,'CARİ DÖNEM MİZAN'!$A:$E,COLUMN()+0,0),"0")</f>
        <v>0</v>
      </c>
      <c r="E135" s="60">
        <f t="shared" si="15"/>
        <v>0</v>
      </c>
      <c r="F135" s="62">
        <f t="shared" si="17"/>
        <v>0</v>
      </c>
    </row>
    <row r="136" spans="1:9" ht="18" customHeight="1" x14ac:dyDescent="0.25">
      <c r="A136" s="32">
        <v>405</v>
      </c>
      <c r="B136" s="33" t="s">
        <v>124</v>
      </c>
      <c r="C136" s="60" t="str">
        <f>IFERROR(VLOOKUP($A136,'CARİ DÖNEM MİZAN'!$A:$E,COLUMN()+0,0),"0")</f>
        <v>0</v>
      </c>
      <c r="D136" s="60" t="str">
        <f>IFERROR(VLOOKUP($A136,'CARİ DÖNEM MİZAN'!$A:$E,COLUMN()+0,0),"0")</f>
        <v>0</v>
      </c>
      <c r="E136" s="60">
        <f t="shared" si="15"/>
        <v>0</v>
      </c>
      <c r="F136" s="62">
        <f t="shared" si="17"/>
        <v>0</v>
      </c>
    </row>
    <row r="137" spans="1:9" ht="18" customHeight="1" x14ac:dyDescent="0.25">
      <c r="A137" s="32">
        <v>407</v>
      </c>
      <c r="B137" s="33" t="s">
        <v>84</v>
      </c>
      <c r="C137" s="60" t="str">
        <f>IFERROR(VLOOKUP($A137,'CARİ DÖNEM MİZAN'!$A:$E,COLUMN()+0,0),"0")</f>
        <v>0</v>
      </c>
      <c r="D137" s="60" t="str">
        <f>IFERROR(VLOOKUP($A137,'CARİ DÖNEM MİZAN'!$A:$E,COLUMN()+0,0),"0")</f>
        <v>0</v>
      </c>
      <c r="E137" s="60">
        <f t="shared" si="15"/>
        <v>0</v>
      </c>
      <c r="F137" s="62">
        <f t="shared" si="17"/>
        <v>0</v>
      </c>
    </row>
    <row r="138" spans="1:9" ht="18" customHeight="1" x14ac:dyDescent="0.25">
      <c r="A138" s="32">
        <v>408</v>
      </c>
      <c r="B138" s="33" t="s">
        <v>125</v>
      </c>
      <c r="C138" s="60" t="str">
        <f>IFERROR(VLOOKUP($A138,'CARİ DÖNEM MİZAN'!$A:$E,COLUMN()+0,0),"0")</f>
        <v>0</v>
      </c>
      <c r="D138" s="60" t="str">
        <f>IFERROR(VLOOKUP($A138,'CARİ DÖNEM MİZAN'!$A:$E,COLUMN()+0,0),"0")</f>
        <v>0</v>
      </c>
      <c r="E138" s="60">
        <f t="shared" si="15"/>
        <v>0</v>
      </c>
      <c r="F138" s="62">
        <f t="shared" si="17"/>
        <v>0</v>
      </c>
    </row>
    <row r="139" spans="1:9" ht="18" customHeight="1" x14ac:dyDescent="0.25">
      <c r="A139" s="32">
        <v>409</v>
      </c>
      <c r="B139" s="33" t="s">
        <v>86</v>
      </c>
      <c r="C139" s="60" t="str">
        <f>IFERROR(VLOOKUP($A139,'CARİ DÖNEM MİZAN'!$A:$E,COLUMN()+0,0),"0")</f>
        <v>0</v>
      </c>
      <c r="D139" s="60" t="str">
        <f>IFERROR(VLOOKUP($A139,'CARİ DÖNEM MİZAN'!$A:$E,COLUMN()+0,0),"0")</f>
        <v>0</v>
      </c>
      <c r="E139" s="60">
        <f t="shared" si="15"/>
        <v>0</v>
      </c>
      <c r="F139" s="62">
        <f t="shared" si="17"/>
        <v>0</v>
      </c>
    </row>
    <row r="140" spans="1:9" s="12" customFormat="1" ht="18" customHeight="1" x14ac:dyDescent="0.25">
      <c r="A140" s="34">
        <v>42</v>
      </c>
      <c r="B140" s="35" t="s">
        <v>87</v>
      </c>
      <c r="C140" s="63">
        <f>SUM(C141:C146)</f>
        <v>0</v>
      </c>
      <c r="D140" s="63">
        <f>SUM(D141:D146)</f>
        <v>0</v>
      </c>
      <c r="E140" s="63">
        <f>SUM(E141:E146)</f>
        <v>0</v>
      </c>
      <c r="F140" s="65">
        <f>SUM(F141:F146)</f>
        <v>0</v>
      </c>
      <c r="H140" s="13"/>
      <c r="I140" s="14"/>
    </row>
    <row r="141" spans="1:9" ht="18" customHeight="1" x14ac:dyDescent="0.25">
      <c r="A141" s="32">
        <v>420</v>
      </c>
      <c r="B141" s="33" t="s">
        <v>88</v>
      </c>
      <c r="C141" s="60" t="str">
        <f>IFERROR(VLOOKUP($A141,'CARİ DÖNEM MİZAN'!$A:$E,COLUMN()+0,0),"0")</f>
        <v>0</v>
      </c>
      <c r="D141" s="60" t="str">
        <f>IFERROR(VLOOKUP($A141,'CARİ DÖNEM MİZAN'!$A:$E,COLUMN()+0,0),"0")</f>
        <v>0</v>
      </c>
      <c r="E141" s="60">
        <f t="shared" si="15"/>
        <v>0</v>
      </c>
      <c r="F141" s="62">
        <f t="shared" ref="F141:F146" si="18">IF(D141&gt;C141,D141-C141,0)</f>
        <v>0</v>
      </c>
    </row>
    <row r="142" spans="1:9" ht="18" customHeight="1" x14ac:dyDescent="0.25">
      <c r="A142" s="32">
        <v>421</v>
      </c>
      <c r="B142" s="33" t="s">
        <v>126</v>
      </c>
      <c r="C142" s="60" t="str">
        <f>IFERROR(VLOOKUP($A142,'CARİ DÖNEM MİZAN'!$A:$E,COLUMN()+0,0),"0")</f>
        <v>0</v>
      </c>
      <c r="D142" s="60" t="str">
        <f>IFERROR(VLOOKUP($A142,'CARİ DÖNEM MİZAN'!$A:$E,COLUMN()+0,0),"0")</f>
        <v>0</v>
      </c>
      <c r="E142" s="60">
        <f t="shared" si="15"/>
        <v>0</v>
      </c>
      <c r="F142" s="62">
        <f t="shared" si="18"/>
        <v>0</v>
      </c>
    </row>
    <row r="143" spans="1:9" ht="18" customHeight="1" x14ac:dyDescent="0.25">
      <c r="A143" s="32">
        <v>422</v>
      </c>
      <c r="B143" s="33" t="s">
        <v>90</v>
      </c>
      <c r="C143" s="60" t="str">
        <f>IFERROR(VLOOKUP($A143,'CARİ DÖNEM MİZAN'!$A:$E,COLUMN()+0,0),"0")</f>
        <v>0</v>
      </c>
      <c r="D143" s="60" t="str">
        <f>IFERROR(VLOOKUP($A143,'CARİ DÖNEM MİZAN'!$A:$E,COLUMN()+0,0),"0")</f>
        <v>0</v>
      </c>
      <c r="E143" s="60">
        <f t="shared" si="15"/>
        <v>0</v>
      </c>
      <c r="F143" s="62">
        <f t="shared" si="18"/>
        <v>0</v>
      </c>
    </row>
    <row r="144" spans="1:9" ht="18" customHeight="1" x14ac:dyDescent="0.25">
      <c r="A144" s="32">
        <v>423</v>
      </c>
      <c r="B144" s="33" t="s">
        <v>91</v>
      </c>
      <c r="C144" s="60" t="str">
        <f>IFERROR(VLOOKUP($A144,'CARİ DÖNEM MİZAN'!$A:$E,COLUMN()+0,0),"0")</f>
        <v>0</v>
      </c>
      <c r="D144" s="60" t="str">
        <f>IFERROR(VLOOKUP($A144,'CARİ DÖNEM MİZAN'!$A:$E,COLUMN()+0,0),"0")</f>
        <v>0</v>
      </c>
      <c r="E144" s="60">
        <f t="shared" si="15"/>
        <v>0</v>
      </c>
      <c r="F144" s="62">
        <f t="shared" si="18"/>
        <v>0</v>
      </c>
    </row>
    <row r="145" spans="1:9" ht="18" customHeight="1" x14ac:dyDescent="0.25">
      <c r="A145" s="32">
        <v>426</v>
      </c>
      <c r="B145" s="33" t="s">
        <v>92</v>
      </c>
      <c r="C145" s="60" t="str">
        <f>IFERROR(VLOOKUP($A145,'CARİ DÖNEM MİZAN'!$A:$E,COLUMN()+0,0),"0")</f>
        <v>0</v>
      </c>
      <c r="D145" s="60" t="str">
        <f>IFERROR(VLOOKUP($A145,'CARİ DÖNEM MİZAN'!$A:$E,COLUMN()+0,0),"0")</f>
        <v>0</v>
      </c>
      <c r="E145" s="60">
        <f t="shared" si="15"/>
        <v>0</v>
      </c>
      <c r="F145" s="62">
        <f t="shared" si="18"/>
        <v>0</v>
      </c>
    </row>
    <row r="146" spans="1:9" ht="18" customHeight="1" x14ac:dyDescent="0.25">
      <c r="A146" s="32">
        <v>429</v>
      </c>
      <c r="B146" s="33" t="s">
        <v>93</v>
      </c>
      <c r="C146" s="60" t="str">
        <f>IFERROR(VLOOKUP($A146,'CARİ DÖNEM MİZAN'!$A:$E,COLUMN()+0,0),"0")</f>
        <v>0</v>
      </c>
      <c r="D146" s="60" t="str">
        <f>IFERROR(VLOOKUP($A146,'CARİ DÖNEM MİZAN'!$A:$E,COLUMN()+0,0),"0")</f>
        <v>0</v>
      </c>
      <c r="E146" s="60">
        <f t="shared" si="15"/>
        <v>0</v>
      </c>
      <c r="F146" s="62">
        <f t="shared" si="18"/>
        <v>0</v>
      </c>
    </row>
    <row r="147" spans="1:9" ht="18" customHeight="1" x14ac:dyDescent="0.25">
      <c r="A147" s="47">
        <v>43</v>
      </c>
      <c r="B147" s="48" t="s">
        <v>94</v>
      </c>
      <c r="C147" s="60" t="str">
        <f>C148</f>
        <v>0</v>
      </c>
      <c r="D147" s="60" t="str">
        <f t="shared" ref="D147:F147" si="19">D148</f>
        <v>0</v>
      </c>
      <c r="E147" s="60">
        <f t="shared" si="19"/>
        <v>0</v>
      </c>
      <c r="F147" s="60">
        <f t="shared" si="19"/>
        <v>0</v>
      </c>
    </row>
    <row r="148" spans="1:9" ht="18" customHeight="1" x14ac:dyDescent="0.25">
      <c r="A148" s="32">
        <v>431</v>
      </c>
      <c r="B148" s="33" t="s">
        <v>96</v>
      </c>
      <c r="C148" s="60" t="str">
        <f>IFERROR(VLOOKUP($A148,'CARİ DÖNEM MİZAN'!$A:$E,COLUMN()+0,0),"0")</f>
        <v>0</v>
      </c>
      <c r="D148" s="60" t="str">
        <f>IFERROR(VLOOKUP($A148,'CARİ DÖNEM MİZAN'!$A:$E,COLUMN()+0,0),"0")</f>
        <v>0</v>
      </c>
      <c r="E148" s="60">
        <f t="shared" si="15"/>
        <v>0</v>
      </c>
      <c r="F148" s="62">
        <f t="shared" ref="F148" si="20">IF(D148&gt;C148,D148-C148,0)</f>
        <v>0</v>
      </c>
    </row>
    <row r="149" spans="1:9" s="12" customFormat="1" ht="18" customHeight="1" x14ac:dyDescent="0.25">
      <c r="A149" s="34">
        <v>44</v>
      </c>
      <c r="B149" s="35" t="s">
        <v>102</v>
      </c>
      <c r="C149" s="63">
        <f>SUM(C150:C151)</f>
        <v>0</v>
      </c>
      <c r="D149" s="63">
        <f>SUM(D150:D151)</f>
        <v>0</v>
      </c>
      <c r="E149" s="63">
        <f>SUM(E150:E151)</f>
        <v>0</v>
      </c>
      <c r="F149" s="65">
        <f>SUM(F150:F151)</f>
        <v>0</v>
      </c>
      <c r="H149" s="13"/>
      <c r="I149" s="14"/>
    </row>
    <row r="150" spans="1:9" ht="18" customHeight="1" x14ac:dyDescent="0.25">
      <c r="A150" s="32">
        <v>440</v>
      </c>
      <c r="B150" s="33" t="s">
        <v>103</v>
      </c>
      <c r="C150" s="60" t="str">
        <f>IFERROR(VLOOKUP($A150,'CARİ DÖNEM MİZAN'!$A:$E,COLUMN()+0,0),"")</f>
        <v/>
      </c>
      <c r="D150" s="60" t="str">
        <f>IFERROR(VLOOKUP($A150,'CARİ DÖNEM MİZAN'!$A:$E,COLUMN()+0,0),"")</f>
        <v/>
      </c>
      <c r="E150" s="60">
        <f t="shared" si="15"/>
        <v>0</v>
      </c>
      <c r="F150" s="62">
        <f>IF(D150&gt;C150,D150-C150,0)</f>
        <v>0</v>
      </c>
    </row>
    <row r="151" spans="1:9" ht="18" customHeight="1" x14ac:dyDescent="0.25">
      <c r="A151" s="32">
        <v>449</v>
      </c>
      <c r="B151" s="33" t="s">
        <v>104</v>
      </c>
      <c r="C151" s="60" t="str">
        <f>IFERROR(VLOOKUP($A151,'CARİ DÖNEM MİZAN'!$A:$E,COLUMN()+0,0),"")</f>
        <v/>
      </c>
      <c r="D151" s="60" t="str">
        <f>IFERROR(VLOOKUP($A151,'CARİ DÖNEM MİZAN'!$A:$E,COLUMN()+0,0),"")</f>
        <v/>
      </c>
      <c r="E151" s="60">
        <f t="shared" si="15"/>
        <v>0</v>
      </c>
      <c r="F151" s="62">
        <f>IF(D151&gt;C151,D151-C151,0)</f>
        <v>0</v>
      </c>
    </row>
    <row r="152" spans="1:9" ht="18" customHeight="1" x14ac:dyDescent="0.25">
      <c r="A152" s="47">
        <v>48</v>
      </c>
      <c r="B152" s="48" t="s">
        <v>251</v>
      </c>
      <c r="C152" s="57" t="str">
        <f>C153</f>
        <v>0</v>
      </c>
      <c r="D152" s="57" t="str">
        <f t="shared" ref="D152:F152" si="21">D153</f>
        <v>0</v>
      </c>
      <c r="E152" s="57">
        <f t="shared" si="21"/>
        <v>0</v>
      </c>
      <c r="F152" s="57">
        <f t="shared" si="21"/>
        <v>0</v>
      </c>
    </row>
    <row r="153" spans="1:9" ht="18" customHeight="1" x14ac:dyDescent="0.25">
      <c r="A153" s="32">
        <v>480</v>
      </c>
      <c r="B153" s="33" t="s">
        <v>252</v>
      </c>
      <c r="C153" s="60" t="str">
        <f>IFERROR(VLOOKUP($A153,'CARİ DÖNEM MİZAN'!$A:$E,COLUMN()+0,0),"0")</f>
        <v>0</v>
      </c>
      <c r="D153" s="60" t="str">
        <f>IFERROR(VLOOKUP($A153,'CARİ DÖNEM MİZAN'!$A:$E,COLUMN()+0,0),"0")</f>
        <v>0</v>
      </c>
      <c r="E153" s="60">
        <f t="shared" si="15"/>
        <v>0</v>
      </c>
      <c r="F153" s="62">
        <f>IF(D153&gt;C153,D153-C153,0)</f>
        <v>0</v>
      </c>
    </row>
    <row r="154" spans="1:9" s="4" customFormat="1" ht="18" customHeight="1" x14ac:dyDescent="0.25">
      <c r="A154" s="36">
        <v>5</v>
      </c>
      <c r="B154" s="37" t="s">
        <v>127</v>
      </c>
      <c r="C154" s="66">
        <f>C155+C159+C166+C172+C174+C176</f>
        <v>435484.13</v>
      </c>
      <c r="D154" s="66">
        <f t="shared" ref="D154:E154" si="22">D155+D159+D166+D172+D174+D176</f>
        <v>8849942.2899999991</v>
      </c>
      <c r="E154" s="67">
        <f t="shared" si="22"/>
        <v>0</v>
      </c>
      <c r="F154" s="66">
        <f>SUM(F155+F159+F166+F172+F174+F176)-E154</f>
        <v>8414458.1600000001</v>
      </c>
      <c r="H154" s="10"/>
      <c r="I154" s="11"/>
    </row>
    <row r="155" spans="1:9" s="12" customFormat="1" ht="18" customHeight="1" x14ac:dyDescent="0.25">
      <c r="A155" s="34">
        <v>50</v>
      </c>
      <c r="B155" s="35" t="s">
        <v>128</v>
      </c>
      <c r="C155" s="63">
        <f>SUM(C156+C157+C158)</f>
        <v>0</v>
      </c>
      <c r="D155" s="63">
        <f t="shared" ref="D155:F155" si="23">SUM(D156+D157+D158)</f>
        <v>987105</v>
      </c>
      <c r="E155" s="63">
        <f t="shared" si="23"/>
        <v>0</v>
      </c>
      <c r="F155" s="63">
        <f t="shared" si="23"/>
        <v>987105</v>
      </c>
      <c r="H155" s="13"/>
      <c r="I155" s="14"/>
    </row>
    <row r="156" spans="1:9" ht="18" customHeight="1" x14ac:dyDescent="0.25">
      <c r="A156" s="32">
        <v>500</v>
      </c>
      <c r="B156" s="33" t="s">
        <v>129</v>
      </c>
      <c r="C156" s="60">
        <f>IFERROR(VLOOKUP($A156,'CARİ DÖNEM MİZAN'!$A:$E,COLUMN()+0,0),"0")</f>
        <v>0</v>
      </c>
      <c r="D156" s="60">
        <f>IFERROR(VLOOKUP($A156,'CARİ DÖNEM MİZAN'!$A:$E,COLUMN()+0,0),"0")</f>
        <v>100000</v>
      </c>
      <c r="E156" s="60">
        <f t="shared" si="15"/>
        <v>0</v>
      </c>
      <c r="F156" s="62">
        <f>IF(D156&gt;C156,D156-C156,0)</f>
        <v>100000</v>
      </c>
    </row>
    <row r="157" spans="1:9" ht="18" customHeight="1" x14ac:dyDescent="0.25">
      <c r="A157" s="32">
        <v>501</v>
      </c>
      <c r="B157" s="33" t="s">
        <v>130</v>
      </c>
      <c r="C157" s="60" t="str">
        <f>IFERROR(VLOOKUP($A157,'CARİ DÖNEM MİZAN'!$A:$E,COLUMN()+0,0),"0")</f>
        <v>0</v>
      </c>
      <c r="D157" s="60" t="str">
        <f>IFERROR(VLOOKUP($A157,'CARİ DÖNEM MİZAN'!$A:$E,COLUMN()+0,0),"0")</f>
        <v>0</v>
      </c>
      <c r="E157" s="60">
        <f t="shared" si="15"/>
        <v>0</v>
      </c>
      <c r="F157" s="62">
        <f>IF(D157&gt;C157,D157-C157,0)</f>
        <v>0</v>
      </c>
    </row>
    <row r="158" spans="1:9" ht="18" customHeight="1" x14ac:dyDescent="0.25">
      <c r="A158" s="32">
        <v>502</v>
      </c>
      <c r="B158" s="33" t="s">
        <v>253</v>
      </c>
      <c r="C158" s="60">
        <f>IFERROR(VLOOKUP($A158,'CARİ DÖNEM MİZAN'!$A:$E,COLUMN()+0,0),"0")</f>
        <v>0</v>
      </c>
      <c r="D158" s="60">
        <f>IFERROR(VLOOKUP($A158,'CARİ DÖNEM MİZAN'!$A:$E,COLUMN()+0,0),"0")</f>
        <v>887105</v>
      </c>
      <c r="E158" s="60">
        <f t="shared" si="15"/>
        <v>0</v>
      </c>
      <c r="F158" s="62">
        <f>IF(D158&gt;C158,D158-C158,0)</f>
        <v>887105</v>
      </c>
    </row>
    <row r="159" spans="1:9" s="12" customFormat="1" ht="18" customHeight="1" x14ac:dyDescent="0.25">
      <c r="A159" s="34">
        <v>52</v>
      </c>
      <c r="B159" s="35" t="s">
        <v>131</v>
      </c>
      <c r="C159" s="63">
        <f>SUM(C160:C165)</f>
        <v>0</v>
      </c>
      <c r="D159" s="63">
        <f>SUM(D160:D165)</f>
        <v>6650000</v>
      </c>
      <c r="E159" s="63">
        <f>SUM(E160:E165)</f>
        <v>0</v>
      </c>
      <c r="F159" s="65">
        <f>SUM(F160:F165)</f>
        <v>6650000</v>
      </c>
      <c r="H159" s="13"/>
      <c r="I159" s="14"/>
    </row>
    <row r="160" spans="1:9" ht="18" customHeight="1" x14ac:dyDescent="0.25">
      <c r="A160" s="32">
        <v>520</v>
      </c>
      <c r="B160" s="33" t="s">
        <v>132</v>
      </c>
      <c r="C160" s="60" t="str">
        <f>IFERROR(VLOOKUP($A160,'CARİ DÖNEM MİZAN'!$A:$E,COLUMN()+0,0),"")</f>
        <v/>
      </c>
      <c r="D160" s="60" t="str">
        <f>IFERROR(VLOOKUP($A160,'CARİ DÖNEM MİZAN'!$A:$E,COLUMN()+0,0),"")</f>
        <v/>
      </c>
      <c r="E160" s="60">
        <f t="shared" si="15"/>
        <v>0</v>
      </c>
      <c r="F160" s="62">
        <f t="shared" ref="F160:F165" si="24">IF(D160&gt;C160,D160-C160,0)</f>
        <v>0</v>
      </c>
    </row>
    <row r="161" spans="1:9" ht="18" customHeight="1" x14ac:dyDescent="0.25">
      <c r="A161" s="32">
        <v>521</v>
      </c>
      <c r="B161" s="33" t="s">
        <v>133</v>
      </c>
      <c r="C161" s="60" t="str">
        <f>IFERROR(VLOOKUP($A161,'CARİ DÖNEM MİZAN'!$A:$E,COLUMN()+0,0),"")</f>
        <v/>
      </c>
      <c r="D161" s="60" t="str">
        <f>IFERROR(VLOOKUP($A161,'CARİ DÖNEM MİZAN'!$A:$E,COLUMN()+0,0),"")</f>
        <v/>
      </c>
      <c r="E161" s="60">
        <f t="shared" si="15"/>
        <v>0</v>
      </c>
      <c r="F161" s="62">
        <f t="shared" si="24"/>
        <v>0</v>
      </c>
    </row>
    <row r="162" spans="1:9" ht="18" customHeight="1" x14ac:dyDescent="0.25">
      <c r="A162" s="32">
        <v>522</v>
      </c>
      <c r="B162" s="33" t="s">
        <v>134</v>
      </c>
      <c r="C162" s="60" t="str">
        <f>IFERROR(VLOOKUP($A162,'CARİ DÖNEM MİZAN'!$A:$E,COLUMN()+0,0),"")</f>
        <v/>
      </c>
      <c r="D162" s="60" t="str">
        <f>IFERROR(VLOOKUP($A162,'CARİ DÖNEM MİZAN'!$A:$E,COLUMN()+0,0),"")</f>
        <v/>
      </c>
      <c r="E162" s="60">
        <f t="shared" si="15"/>
        <v>0</v>
      </c>
      <c r="F162" s="62">
        <f t="shared" si="24"/>
        <v>0</v>
      </c>
    </row>
    <row r="163" spans="1:9" ht="18" customHeight="1" x14ac:dyDescent="0.25">
      <c r="A163" s="32">
        <v>523</v>
      </c>
      <c r="B163" s="33" t="s">
        <v>135</v>
      </c>
      <c r="C163" s="60" t="str">
        <f>IFERROR(VLOOKUP($A163,'CARİ DÖNEM MİZAN'!$A:$E,COLUMN()+0,0),"")</f>
        <v/>
      </c>
      <c r="D163" s="60" t="str">
        <f>IFERROR(VLOOKUP($A163,'CARİ DÖNEM MİZAN'!$A:$E,COLUMN()+0,0),"")</f>
        <v/>
      </c>
      <c r="E163" s="60">
        <f t="shared" si="15"/>
        <v>0</v>
      </c>
      <c r="F163" s="62">
        <f t="shared" si="24"/>
        <v>0</v>
      </c>
    </row>
    <row r="164" spans="1:9" ht="18" customHeight="1" x14ac:dyDescent="0.25">
      <c r="A164" s="32">
        <v>524</v>
      </c>
      <c r="B164" s="33" t="s">
        <v>136</v>
      </c>
      <c r="C164" s="60" t="str">
        <f>IFERROR(VLOOKUP($A164,'CARİ DÖNEM MİZAN'!$A:$E,COLUMN()+0,0),"")</f>
        <v/>
      </c>
      <c r="D164" s="60" t="str">
        <f>IFERROR(VLOOKUP($A164,'CARİ DÖNEM MİZAN'!$A:$E,COLUMN()+0,0),"")</f>
        <v/>
      </c>
      <c r="E164" s="60">
        <f t="shared" si="15"/>
        <v>0</v>
      </c>
      <c r="F164" s="62">
        <f t="shared" si="24"/>
        <v>0</v>
      </c>
    </row>
    <row r="165" spans="1:9" ht="18" customHeight="1" x14ac:dyDescent="0.25">
      <c r="A165" s="32">
        <v>529</v>
      </c>
      <c r="B165" s="33" t="s">
        <v>137</v>
      </c>
      <c r="C165" s="60">
        <f>IFERROR(VLOOKUP($A165,'CARİ DÖNEM MİZAN'!$A:$E,COLUMN()+0,0),"")</f>
        <v>0</v>
      </c>
      <c r="D165" s="60">
        <f>IFERROR(VLOOKUP($A165,'CARİ DÖNEM MİZAN'!$A:$E,COLUMN()+0,0),"")</f>
        <v>6650000</v>
      </c>
      <c r="E165" s="60">
        <f t="shared" si="15"/>
        <v>0</v>
      </c>
      <c r="F165" s="62">
        <f t="shared" si="24"/>
        <v>6650000</v>
      </c>
    </row>
    <row r="166" spans="1:9" s="12" customFormat="1" ht="18" customHeight="1" x14ac:dyDescent="0.25">
      <c r="A166" s="34">
        <v>54</v>
      </c>
      <c r="B166" s="35" t="s">
        <v>138</v>
      </c>
      <c r="C166" s="63">
        <f>SUM(C167:C171)</f>
        <v>0</v>
      </c>
      <c r="D166" s="63">
        <f>SUM(D167:D171)</f>
        <v>0</v>
      </c>
      <c r="E166" s="63">
        <f>SUM(E167:E171)</f>
        <v>0</v>
      </c>
      <c r="F166" s="65">
        <f>SUM(F167:F171)</f>
        <v>0</v>
      </c>
      <c r="H166" s="13"/>
      <c r="I166" s="14"/>
    </row>
    <row r="167" spans="1:9" ht="18" customHeight="1" x14ac:dyDescent="0.25">
      <c r="A167" s="32">
        <v>540</v>
      </c>
      <c r="B167" s="33" t="s">
        <v>139</v>
      </c>
      <c r="C167" s="60" t="str">
        <f>IFERROR(VLOOKUP($A167,'CARİ DÖNEM MİZAN'!$A:$E,COLUMN()+0,0),"")</f>
        <v/>
      </c>
      <c r="D167" s="60" t="str">
        <f>IFERROR(VLOOKUP($A167,'CARİ DÖNEM MİZAN'!$A:$E,COLUMN()+0,0),"")</f>
        <v/>
      </c>
      <c r="E167" s="60">
        <f t="shared" si="15"/>
        <v>0</v>
      </c>
      <c r="F167" s="62">
        <f>IF(D167&gt;C167,D167-C167,0)</f>
        <v>0</v>
      </c>
    </row>
    <row r="168" spans="1:9" ht="18" customHeight="1" x14ac:dyDescent="0.25">
      <c r="A168" s="32">
        <v>541</v>
      </c>
      <c r="B168" s="33" t="s">
        <v>140</v>
      </c>
      <c r="C168" s="60" t="str">
        <f>IFERROR(VLOOKUP($A168,'CARİ DÖNEM MİZAN'!$A:$E,COLUMN()+0,0),"")</f>
        <v/>
      </c>
      <c r="D168" s="60" t="str">
        <f>IFERROR(VLOOKUP($A168,'CARİ DÖNEM MİZAN'!$A:$E,COLUMN()+0,0),"")</f>
        <v/>
      </c>
      <c r="E168" s="60">
        <f t="shared" si="15"/>
        <v>0</v>
      </c>
      <c r="F168" s="62">
        <f>IF(D168&gt;C168,D168-C168,0)</f>
        <v>0</v>
      </c>
    </row>
    <row r="169" spans="1:9" ht="18" customHeight="1" x14ac:dyDescent="0.25">
      <c r="A169" s="32">
        <v>542</v>
      </c>
      <c r="B169" s="33" t="s">
        <v>141</v>
      </c>
      <c r="C169" s="60" t="str">
        <f>IFERROR(VLOOKUP($A169,'CARİ DÖNEM MİZAN'!$A:$E,COLUMN()+0,0),"")</f>
        <v/>
      </c>
      <c r="D169" s="60" t="str">
        <f>IFERROR(VLOOKUP($A169,'CARİ DÖNEM MİZAN'!$A:$E,COLUMN()+0,0),"")</f>
        <v/>
      </c>
      <c r="E169" s="60">
        <f t="shared" si="15"/>
        <v>0</v>
      </c>
      <c r="F169" s="62">
        <f>IF(D169&gt;C169,D169-C169,0)</f>
        <v>0</v>
      </c>
    </row>
    <row r="170" spans="1:9" ht="18" customHeight="1" x14ac:dyDescent="0.25">
      <c r="A170" s="32">
        <v>548</v>
      </c>
      <c r="B170" s="33" t="s">
        <v>142</v>
      </c>
      <c r="C170" s="60" t="str">
        <f>IFERROR(VLOOKUP($A170,'CARİ DÖNEM MİZAN'!$A:$E,COLUMN()+0,0),"")</f>
        <v/>
      </c>
      <c r="D170" s="60" t="str">
        <f>IFERROR(VLOOKUP($A170,'CARİ DÖNEM MİZAN'!$A:$E,COLUMN()+0,0),"")</f>
        <v/>
      </c>
      <c r="E170" s="60">
        <f t="shared" si="15"/>
        <v>0</v>
      </c>
      <c r="F170" s="62">
        <f>IF(D170&gt;C170,D170-C170,0)</f>
        <v>0</v>
      </c>
    </row>
    <row r="171" spans="1:9" ht="18" customHeight="1" x14ac:dyDescent="0.25">
      <c r="A171" s="32">
        <v>549</v>
      </c>
      <c r="B171" s="33" t="s">
        <v>143</v>
      </c>
      <c r="C171" s="60" t="str">
        <f>IFERROR(VLOOKUP($A171,'CARİ DÖNEM MİZAN'!$A:$E,COLUMN()+0,0),"")</f>
        <v/>
      </c>
      <c r="D171" s="60" t="str">
        <f>IFERROR(VLOOKUP($A171,'CARİ DÖNEM MİZAN'!$A:$E,COLUMN()+0,0),"")</f>
        <v/>
      </c>
      <c r="E171" s="60">
        <f t="shared" si="15"/>
        <v>0</v>
      </c>
      <c r="F171" s="62">
        <f>IF(D171&gt;C171,D171-C171,0)</f>
        <v>0</v>
      </c>
    </row>
    <row r="172" spans="1:9" s="12" customFormat="1" ht="18" customHeight="1" x14ac:dyDescent="0.25">
      <c r="A172" s="34">
        <v>57</v>
      </c>
      <c r="B172" s="35" t="s">
        <v>144</v>
      </c>
      <c r="C172" s="63">
        <f>SUM(C173:C173)</f>
        <v>43709.86</v>
      </c>
      <c r="D172" s="63">
        <f>SUM(D173:D173)</f>
        <v>821063.02</v>
      </c>
      <c r="E172" s="63">
        <f>SUM(E173:E173)</f>
        <v>0</v>
      </c>
      <c r="F172" s="65">
        <f>SUM(F173:F173)</f>
        <v>777353.16</v>
      </c>
      <c r="H172" s="13"/>
      <c r="I172" s="14"/>
    </row>
    <row r="173" spans="1:9" ht="18" customHeight="1" x14ac:dyDescent="0.25">
      <c r="A173" s="38">
        <v>570</v>
      </c>
      <c r="B173" s="39" t="s">
        <v>145</v>
      </c>
      <c r="C173" s="60">
        <f>IFERROR(VLOOKUP($A173,'CARİ DÖNEM MİZAN'!$A:$E,COLUMN()+0,0),"")</f>
        <v>43709.86</v>
      </c>
      <c r="D173" s="60">
        <f>IFERROR(VLOOKUP($A173,'CARİ DÖNEM MİZAN'!$A:$E,COLUMN()+0,0),"")</f>
        <v>821063.02</v>
      </c>
      <c r="E173" s="60">
        <f t="shared" si="15"/>
        <v>0</v>
      </c>
      <c r="F173" s="62">
        <f>IF(D173&gt;C173,D173-C173,0)</f>
        <v>777353.16</v>
      </c>
    </row>
    <row r="174" spans="1:9" s="12" customFormat="1" ht="18" customHeight="1" x14ac:dyDescent="0.25">
      <c r="A174" s="34">
        <v>58</v>
      </c>
      <c r="B174" s="35" t="s">
        <v>146</v>
      </c>
      <c r="C174" s="63">
        <f>SUM(C175:C175)</f>
        <v>0</v>
      </c>
      <c r="D174" s="63">
        <f>SUM(D175:D175)</f>
        <v>0</v>
      </c>
      <c r="E174" s="63">
        <f>SUM(E175:E175)</f>
        <v>0</v>
      </c>
      <c r="F174" s="65">
        <f>SUM(F175:F175)</f>
        <v>0</v>
      </c>
      <c r="H174" s="13"/>
      <c r="I174" s="14"/>
    </row>
    <row r="175" spans="1:9" ht="18" customHeight="1" x14ac:dyDescent="0.25">
      <c r="A175" s="38">
        <v>580</v>
      </c>
      <c r="B175" s="39" t="s">
        <v>147</v>
      </c>
      <c r="C175" s="60" t="str">
        <f>IFERROR(VLOOKUP($A175,'CARİ DÖNEM MİZAN'!$A:$E,COLUMN()+0,0),"")</f>
        <v/>
      </c>
      <c r="D175" s="60" t="str">
        <f>IFERROR(VLOOKUP($A175,'CARİ DÖNEM MİZAN'!$A:$E,COLUMN()+0,0),"")</f>
        <v/>
      </c>
      <c r="E175" s="60">
        <f>IF(C175&gt;D175,C175-D175,0)</f>
        <v>0</v>
      </c>
      <c r="F175" s="62">
        <f>IF(D175&gt;C175,D175-C175,0)</f>
        <v>0</v>
      </c>
    </row>
    <row r="176" spans="1:9" s="12" customFormat="1" ht="18" customHeight="1" x14ac:dyDescent="0.25">
      <c r="A176" s="34">
        <v>59</v>
      </c>
      <c r="B176" s="35" t="s">
        <v>148</v>
      </c>
      <c r="C176" s="63">
        <f>SUM(C177:C178)</f>
        <v>391774.27</v>
      </c>
      <c r="D176" s="63">
        <f>SUM(D177:D178)</f>
        <v>391774.27</v>
      </c>
      <c r="E176" s="63">
        <f>SUM(E177:E178)</f>
        <v>0</v>
      </c>
      <c r="F176" s="65">
        <f>SUM(F177:F178)</f>
        <v>0</v>
      </c>
      <c r="H176" s="13"/>
      <c r="I176" s="14"/>
    </row>
    <row r="177" spans="1:9" ht="18" customHeight="1" x14ac:dyDescent="0.25">
      <c r="A177" s="38">
        <v>590</v>
      </c>
      <c r="B177" s="39" t="s">
        <v>149</v>
      </c>
      <c r="C177" s="60">
        <f>IFERROR(VLOOKUP($A177,'CARİ DÖNEM MİZAN'!$A:$E,COLUMN()+0,0),"")</f>
        <v>391774.27</v>
      </c>
      <c r="D177" s="60">
        <f>IFERROR(VLOOKUP($A177,'CARİ DÖNEM MİZAN'!$A:$E,COLUMN()+0,0),"")</f>
        <v>391774.27</v>
      </c>
      <c r="E177" s="60">
        <f>IF(C177&gt;D177,C177-D177,0)</f>
        <v>0</v>
      </c>
      <c r="F177" s="62">
        <f>IF(D177&gt;C177,D177-C177,0)</f>
        <v>0</v>
      </c>
    </row>
    <row r="178" spans="1:9" ht="18" customHeight="1" x14ac:dyDescent="0.25">
      <c r="A178" s="38">
        <v>591</v>
      </c>
      <c r="B178" s="39" t="s">
        <v>150</v>
      </c>
      <c r="C178" s="60" t="str">
        <f>IFERROR(VLOOKUP($A178,'CARİ DÖNEM MİZAN'!$A:$E,COLUMN()+0,0),"")</f>
        <v/>
      </c>
      <c r="D178" s="60" t="str">
        <f>IFERROR(VLOOKUP($A178,'CARİ DÖNEM MİZAN'!$A:$E,COLUMN()+0,0),"")</f>
        <v/>
      </c>
      <c r="E178" s="60">
        <f>IF(C178&gt;D178,C178-D178,0)</f>
        <v>0</v>
      </c>
      <c r="F178" s="62">
        <f>IF(D178&gt;C178,D178-C178,0)</f>
        <v>0</v>
      </c>
    </row>
    <row r="179" spans="1:9" s="4" customFormat="1" ht="18" customHeight="1" x14ac:dyDescent="0.25">
      <c r="A179" s="36">
        <v>6</v>
      </c>
      <c r="B179" s="37" t="s">
        <v>151</v>
      </c>
      <c r="C179" s="66">
        <f>C180+C184+C188+C193+C197+C208+C215+C218+C221+C225</f>
        <v>49328867.940000005</v>
      </c>
      <c r="D179" s="66">
        <f>D180+D184+D188+D193+D197+D208+D215+D218+D221+D225</f>
        <v>49328867.940000005</v>
      </c>
      <c r="E179" s="66">
        <f>E180+E184+E188+E193+E197+E208+E215+E218+E221+E225</f>
        <v>0</v>
      </c>
      <c r="F179" s="68">
        <f>F180+F184+F188+F193+F197+F208+F215+F218+F221+F225</f>
        <v>0</v>
      </c>
      <c r="H179" s="10"/>
      <c r="I179" s="11"/>
    </row>
    <row r="180" spans="1:9" s="12" customFormat="1" ht="18" customHeight="1" x14ac:dyDescent="0.25">
      <c r="A180" s="34">
        <v>60</v>
      </c>
      <c r="B180" s="35" t="s">
        <v>152</v>
      </c>
      <c r="C180" s="63">
        <f>SUM(C181:C183)</f>
        <v>21456167.210000001</v>
      </c>
      <c r="D180" s="63">
        <f>SUM(D181:D183)</f>
        <v>21456167.210000001</v>
      </c>
      <c r="E180" s="63">
        <f>SUM(E181:E183)</f>
        <v>0</v>
      </c>
      <c r="F180" s="65">
        <f>SUM(F181:F183)</f>
        <v>0</v>
      </c>
      <c r="H180" s="13"/>
      <c r="I180" s="14"/>
    </row>
    <row r="181" spans="1:9" s="22" customFormat="1" ht="18" customHeight="1" x14ac:dyDescent="0.25">
      <c r="A181" s="40">
        <v>600</v>
      </c>
      <c r="B181" s="41" t="s">
        <v>153</v>
      </c>
      <c r="C181" s="69">
        <f>IFERROR(VLOOKUP($A181,'CARİ DÖNEM MİZAN'!$A:$E,COLUMN()+0,0),"")</f>
        <v>21455107.870000001</v>
      </c>
      <c r="D181" s="69">
        <f>IFERROR(VLOOKUP($A181,'CARİ DÖNEM MİZAN'!$A:$E,COLUMN()+0,0),"")</f>
        <v>21455107.870000001</v>
      </c>
      <c r="E181" s="69">
        <f>IF(C181&gt;D181,C181-D181,0)</f>
        <v>0</v>
      </c>
      <c r="F181" s="70">
        <f>IF(D181&gt;C181,D181-C181,0)</f>
        <v>0</v>
      </c>
      <c r="H181" s="23"/>
      <c r="I181" s="24"/>
    </row>
    <row r="182" spans="1:9" s="22" customFormat="1" ht="18" customHeight="1" x14ac:dyDescent="0.25">
      <c r="A182" s="40">
        <v>601</v>
      </c>
      <c r="B182" s="41" t="s">
        <v>154</v>
      </c>
      <c r="C182" s="69" t="str">
        <f>IFERROR(VLOOKUP($A182,'CARİ DÖNEM MİZAN'!$A:$E,COLUMN()+0,0),"")</f>
        <v/>
      </c>
      <c r="D182" s="69" t="str">
        <f>IFERROR(VLOOKUP($A182,'CARİ DÖNEM MİZAN'!$A:$E,COLUMN()+0,0),"")</f>
        <v/>
      </c>
      <c r="E182" s="69">
        <f>IF(C182&gt;D182,C182-D182,0)</f>
        <v>0</v>
      </c>
      <c r="F182" s="70">
        <f>IF(D182&gt;C182,D182-C182,0)</f>
        <v>0</v>
      </c>
      <c r="H182" s="23"/>
      <c r="I182" s="24"/>
    </row>
    <row r="183" spans="1:9" s="22" customFormat="1" ht="18" customHeight="1" x14ac:dyDescent="0.25">
      <c r="A183" s="40">
        <v>602</v>
      </c>
      <c r="B183" s="41" t="s">
        <v>155</v>
      </c>
      <c r="C183" s="69">
        <f>IFERROR(VLOOKUP($A183,'CARİ DÖNEM MİZAN'!$A:$E,COLUMN()+0,0),"")</f>
        <v>1059.3399999999999</v>
      </c>
      <c r="D183" s="69">
        <f>IFERROR(VLOOKUP($A183,'CARİ DÖNEM MİZAN'!$A:$E,COLUMN()+0,0),"")</f>
        <v>1059.3399999999999</v>
      </c>
      <c r="E183" s="69">
        <f>IF(C183&gt;D183,C183-D183,0)</f>
        <v>0</v>
      </c>
      <c r="F183" s="70">
        <f>IF(D183&gt;C183,D183-C183,0)</f>
        <v>0</v>
      </c>
      <c r="H183" s="23"/>
      <c r="I183" s="24"/>
    </row>
    <row r="184" spans="1:9" s="12" customFormat="1" ht="18" customHeight="1" x14ac:dyDescent="0.25">
      <c r="A184" s="34">
        <v>61</v>
      </c>
      <c r="B184" s="35" t="s">
        <v>156</v>
      </c>
      <c r="C184" s="63">
        <f>SUM(C185:C187)</f>
        <v>0</v>
      </c>
      <c r="D184" s="63">
        <f>SUM(D185:D187)</f>
        <v>0</v>
      </c>
      <c r="E184" s="63">
        <f>SUM(E185:E187)</f>
        <v>0</v>
      </c>
      <c r="F184" s="65">
        <f>SUM(F185:F187)</f>
        <v>0</v>
      </c>
      <c r="H184" s="13"/>
      <c r="I184" s="14"/>
    </row>
    <row r="185" spans="1:9" s="22" customFormat="1" ht="18" customHeight="1" x14ac:dyDescent="0.25">
      <c r="A185" s="40">
        <v>610</v>
      </c>
      <c r="B185" s="41" t="s">
        <v>157</v>
      </c>
      <c r="C185" s="69" t="str">
        <f>IFERROR(VLOOKUP($A185,'CARİ DÖNEM MİZAN'!$A:$E,COLUMN()+0,0),"")</f>
        <v/>
      </c>
      <c r="D185" s="69" t="str">
        <f>IFERROR(VLOOKUP($A185,'CARİ DÖNEM MİZAN'!$A:$E,COLUMN()+0,0),"")</f>
        <v/>
      </c>
      <c r="E185" s="69">
        <f>IF(C185&gt;D185,C185-D185,0)</f>
        <v>0</v>
      </c>
      <c r="F185" s="70">
        <f>IF(D185&gt;C185,D185-C185,0)</f>
        <v>0</v>
      </c>
      <c r="H185" s="23"/>
      <c r="I185" s="24"/>
    </row>
    <row r="186" spans="1:9" s="22" customFormat="1" ht="18" customHeight="1" x14ac:dyDescent="0.25">
      <c r="A186" s="40">
        <v>611</v>
      </c>
      <c r="B186" s="41" t="s">
        <v>158</v>
      </c>
      <c r="C186" s="69" t="str">
        <f>IFERROR(VLOOKUP($A186,'CARİ DÖNEM MİZAN'!$A:$E,COLUMN()+0,0),"")</f>
        <v/>
      </c>
      <c r="D186" s="69" t="str">
        <f>IFERROR(VLOOKUP($A186,'CARİ DÖNEM MİZAN'!$A:$E,COLUMN()+0,0),"")</f>
        <v/>
      </c>
      <c r="E186" s="69">
        <f>IF(C186&gt;D186,C186-D186,0)</f>
        <v>0</v>
      </c>
      <c r="F186" s="70">
        <f>IF(D186&gt;C186,D186-C186,0)</f>
        <v>0</v>
      </c>
      <c r="H186" s="23"/>
      <c r="I186" s="24"/>
    </row>
    <row r="187" spans="1:9" s="22" customFormat="1" ht="18" customHeight="1" x14ac:dyDescent="0.25">
      <c r="A187" s="40">
        <v>612</v>
      </c>
      <c r="B187" s="41" t="s">
        <v>159</v>
      </c>
      <c r="C187" s="69" t="str">
        <f>IFERROR(VLOOKUP($A187,'CARİ DÖNEM MİZAN'!$A:$E,COLUMN()+0,0),"")</f>
        <v/>
      </c>
      <c r="D187" s="69" t="str">
        <f>IFERROR(VLOOKUP($A187,'CARİ DÖNEM MİZAN'!$A:$E,COLUMN()+0,0),"")</f>
        <v/>
      </c>
      <c r="E187" s="69">
        <f>IF(C187&gt;D187,C187-D187,0)</f>
        <v>0</v>
      </c>
      <c r="F187" s="70">
        <f>IF(D187&gt;C187,D187-C187,0)</f>
        <v>0</v>
      </c>
      <c r="H187" s="23"/>
      <c r="I187" s="24"/>
    </row>
    <row r="188" spans="1:9" s="12" customFormat="1" ht="18" customHeight="1" x14ac:dyDescent="0.25">
      <c r="A188" s="34">
        <v>62</v>
      </c>
      <c r="B188" s="35" t="s">
        <v>160</v>
      </c>
      <c r="C188" s="63">
        <f>SUM(C189:C192)</f>
        <v>20535790.600000001</v>
      </c>
      <c r="D188" s="63">
        <f>SUM(D189:D192)</f>
        <v>20535790.600000001</v>
      </c>
      <c r="E188" s="63">
        <f>SUM(E189:E192)</f>
        <v>0</v>
      </c>
      <c r="F188" s="65">
        <f>SUM(F189:F192)</f>
        <v>0</v>
      </c>
      <c r="H188" s="13"/>
      <c r="I188" s="14"/>
    </row>
    <row r="189" spans="1:9" s="22" customFormat="1" ht="18" customHeight="1" x14ac:dyDescent="0.25">
      <c r="A189" s="40">
        <v>620</v>
      </c>
      <c r="B189" s="41" t="s">
        <v>161</v>
      </c>
      <c r="C189" s="69" t="str">
        <f>IFERROR(VLOOKUP($A189,'CARİ DÖNEM MİZAN'!$A:$E,COLUMN()+0,0),"")</f>
        <v/>
      </c>
      <c r="D189" s="69" t="str">
        <f>IFERROR(VLOOKUP($A189,'CARİ DÖNEM MİZAN'!$A:$E,COLUMN()+0,0),"")</f>
        <v/>
      </c>
      <c r="E189" s="69">
        <f>IF(C189&gt;D189,C189-D189,0)</f>
        <v>0</v>
      </c>
      <c r="F189" s="70">
        <f>IF(D189&gt;C189,D189-C189,0)</f>
        <v>0</v>
      </c>
      <c r="H189" s="23"/>
      <c r="I189" s="24"/>
    </row>
    <row r="190" spans="1:9" s="22" customFormat="1" ht="18" customHeight="1" x14ac:dyDescent="0.25">
      <c r="A190" s="40">
        <v>621</v>
      </c>
      <c r="B190" s="41" t="s">
        <v>162</v>
      </c>
      <c r="C190" s="69">
        <f>IFERROR(VLOOKUP($A190,'CARİ DÖNEM MİZAN'!$A:$E,COLUMN()+0,0),"")</f>
        <v>19379517.920000002</v>
      </c>
      <c r="D190" s="69">
        <f>IFERROR(VLOOKUP($A190,'CARİ DÖNEM MİZAN'!$A:$E,COLUMN()+0,0),"")</f>
        <v>19379517.920000002</v>
      </c>
      <c r="E190" s="69">
        <f>IF(C190&gt;D190,C190-D190,0)</f>
        <v>0</v>
      </c>
      <c r="F190" s="70">
        <f>IF(D190&gt;C190,D190-C190,0)</f>
        <v>0</v>
      </c>
      <c r="H190" s="23"/>
      <c r="I190" s="24"/>
    </row>
    <row r="191" spans="1:9" s="22" customFormat="1" ht="18" customHeight="1" x14ac:dyDescent="0.25">
      <c r="A191" s="40">
        <v>622</v>
      </c>
      <c r="B191" s="41" t="s">
        <v>163</v>
      </c>
      <c r="C191" s="69">
        <f>IFERROR(VLOOKUP($A191,'CARİ DÖNEM MİZAN'!$A:$E,COLUMN()+0,0),"")</f>
        <v>1156272.68</v>
      </c>
      <c r="D191" s="69">
        <f>IFERROR(VLOOKUP($A191,'CARİ DÖNEM MİZAN'!$A:$E,COLUMN()+0,0),"")</f>
        <v>1156272.68</v>
      </c>
      <c r="E191" s="69">
        <f>IF(C191&gt;D191,C191-D191,0)</f>
        <v>0</v>
      </c>
      <c r="F191" s="70">
        <f>IF(D191&gt;C191,D191-C191,0)</f>
        <v>0</v>
      </c>
      <c r="H191" s="23"/>
      <c r="I191" s="24"/>
    </row>
    <row r="192" spans="1:9" s="22" customFormat="1" ht="18" customHeight="1" x14ac:dyDescent="0.25">
      <c r="A192" s="40">
        <v>623</v>
      </c>
      <c r="B192" s="41" t="s">
        <v>164</v>
      </c>
      <c r="C192" s="69" t="str">
        <f>IFERROR(VLOOKUP($A192,'CARİ DÖNEM MİZAN'!$A:$E,COLUMN()+0,0),"")</f>
        <v/>
      </c>
      <c r="D192" s="69" t="str">
        <f>IFERROR(VLOOKUP($A192,'CARİ DÖNEM MİZAN'!$A:$E,COLUMN()+0,0),"")</f>
        <v/>
      </c>
      <c r="E192" s="69">
        <f>IF(C192&gt;D192,C192-D192,0)</f>
        <v>0</v>
      </c>
      <c r="F192" s="70">
        <f>IF(D192&gt;C192,D192-C192,0)</f>
        <v>0</v>
      </c>
      <c r="H192" s="23"/>
      <c r="I192" s="24"/>
    </row>
    <row r="193" spans="1:9" s="12" customFormat="1" ht="18" customHeight="1" x14ac:dyDescent="0.25">
      <c r="A193" s="34">
        <v>63</v>
      </c>
      <c r="B193" s="35" t="s">
        <v>165</v>
      </c>
      <c r="C193" s="63">
        <f>SUM(C194:C196)</f>
        <v>0</v>
      </c>
      <c r="D193" s="63">
        <f>SUM(D194:D196)</f>
        <v>0</v>
      </c>
      <c r="E193" s="63">
        <f>SUM(E194:E196)</f>
        <v>0</v>
      </c>
      <c r="F193" s="65">
        <f>SUM(F194:F196)</f>
        <v>0</v>
      </c>
      <c r="H193" s="13"/>
      <c r="I193" s="14"/>
    </row>
    <row r="194" spans="1:9" ht="18" customHeight="1" x14ac:dyDescent="0.25">
      <c r="A194" s="40">
        <v>630</v>
      </c>
      <c r="B194" s="41" t="s">
        <v>166</v>
      </c>
      <c r="C194" s="60" t="str">
        <f>IFERROR(VLOOKUP($A194,'CARİ DÖNEM MİZAN'!$A:$E,COLUMN()+0,0),"")</f>
        <v/>
      </c>
      <c r="D194" s="60" t="str">
        <f>IFERROR(VLOOKUP($A194,'CARİ DÖNEM MİZAN'!$A:$E,COLUMN()+0,0),"")</f>
        <v/>
      </c>
      <c r="E194" s="60">
        <f>IF(C194&gt;D194,C194-D194,0)</f>
        <v>0</v>
      </c>
      <c r="F194" s="62">
        <f>IF(D194&gt;C194,D194-C194,0)</f>
        <v>0</v>
      </c>
    </row>
    <row r="195" spans="1:9" ht="18" customHeight="1" x14ac:dyDescent="0.25">
      <c r="A195" s="40">
        <v>631</v>
      </c>
      <c r="B195" s="41" t="s">
        <v>167</v>
      </c>
      <c r="C195" s="60" t="str">
        <f>IFERROR(VLOOKUP($A195,'CARİ DÖNEM MİZAN'!$A:$E,COLUMN()+0,0),"")</f>
        <v/>
      </c>
      <c r="D195" s="60" t="str">
        <f>IFERROR(VLOOKUP($A195,'CARİ DÖNEM MİZAN'!$A:$E,COLUMN()+0,0),"")</f>
        <v/>
      </c>
      <c r="E195" s="60">
        <f>IF(C195&gt;D195,C195-D195,0)</f>
        <v>0</v>
      </c>
      <c r="F195" s="62">
        <f>IF(D195&gt;C195,D195-C195,0)</f>
        <v>0</v>
      </c>
    </row>
    <row r="196" spans="1:9" ht="18" customHeight="1" x14ac:dyDescent="0.25">
      <c r="A196" s="40">
        <v>632</v>
      </c>
      <c r="B196" s="41" t="s">
        <v>168</v>
      </c>
      <c r="C196" s="60" t="str">
        <f>IFERROR(VLOOKUP($A196,'CARİ DÖNEM MİZAN'!$A:$E,COLUMN()+0,0),"")</f>
        <v/>
      </c>
      <c r="D196" s="60" t="str">
        <f>IFERROR(VLOOKUP($A196,'CARİ DÖNEM MİZAN'!$A:$E,COLUMN()+0,0),"")</f>
        <v/>
      </c>
      <c r="E196" s="60">
        <f>IF(C196&gt;D196,C196-D196,0)</f>
        <v>0</v>
      </c>
      <c r="F196" s="62">
        <f>IF(D196&gt;C196,D196-C196,0)</f>
        <v>0</v>
      </c>
    </row>
    <row r="197" spans="1:9" s="12" customFormat="1" ht="18" customHeight="1" x14ac:dyDescent="0.25">
      <c r="A197" s="34">
        <v>64</v>
      </c>
      <c r="B197" s="35" t="s">
        <v>169</v>
      </c>
      <c r="C197" s="63">
        <f>SUM(C198:C207)</f>
        <v>0</v>
      </c>
      <c r="D197" s="63">
        <f>SUM(D198:D207)</f>
        <v>0</v>
      </c>
      <c r="E197" s="63">
        <f>SUM(E198:E207)</f>
        <v>0</v>
      </c>
      <c r="F197" s="65">
        <f>SUM(F198:F207)</f>
        <v>0</v>
      </c>
      <c r="H197" s="13"/>
      <c r="I197" s="14"/>
    </row>
    <row r="198" spans="1:9" ht="18" customHeight="1" x14ac:dyDescent="0.25">
      <c r="A198" s="40">
        <v>640</v>
      </c>
      <c r="B198" s="41" t="s">
        <v>170</v>
      </c>
      <c r="C198" s="60" t="str">
        <f>IFERROR(VLOOKUP($A198,'CARİ DÖNEM MİZAN'!$A:$E,COLUMN()+0,0),"")</f>
        <v/>
      </c>
      <c r="D198" s="60" t="str">
        <f>IFERROR(VLOOKUP($A198,'CARİ DÖNEM MİZAN'!$A:$E,COLUMN()+0,0),"")</f>
        <v/>
      </c>
      <c r="E198" s="60">
        <f>IF(C198&gt;D198,C198-D198,0)</f>
        <v>0</v>
      </c>
      <c r="F198" s="62">
        <f>IF(D198&gt;C198,D198-C198,0)</f>
        <v>0</v>
      </c>
    </row>
    <row r="199" spans="1:9" ht="18" customHeight="1" x14ac:dyDescent="0.25">
      <c r="A199" s="40">
        <v>641</v>
      </c>
      <c r="B199" s="41" t="s">
        <v>171</v>
      </c>
      <c r="C199" s="60" t="str">
        <f>IFERROR(VLOOKUP($A199,'CARİ DÖNEM MİZAN'!$A:$E,COLUMN()+0,0),"")</f>
        <v/>
      </c>
      <c r="D199" s="60" t="str">
        <f>IFERROR(VLOOKUP($A199,'CARİ DÖNEM MİZAN'!$A:$E,COLUMN()+0,0),"")</f>
        <v/>
      </c>
      <c r="E199" s="60">
        <f t="shared" ref="E199:E207" si="25">IF(C199&gt;D199,C199-D199,0)</f>
        <v>0</v>
      </c>
      <c r="F199" s="62">
        <f t="shared" ref="F199:F207" si="26">IF(D199&gt;C199,D199-C199,0)</f>
        <v>0</v>
      </c>
    </row>
    <row r="200" spans="1:9" ht="18" customHeight="1" x14ac:dyDescent="0.25">
      <c r="A200" s="40">
        <v>642</v>
      </c>
      <c r="B200" s="41" t="s">
        <v>172</v>
      </c>
      <c r="C200" s="60" t="str">
        <f>IFERROR(VLOOKUP($A200,'CARİ DÖNEM MİZAN'!$A:$E,COLUMN()+0,0),"")</f>
        <v/>
      </c>
      <c r="D200" s="60" t="str">
        <f>IFERROR(VLOOKUP($A200,'CARİ DÖNEM MİZAN'!$A:$E,COLUMN()+0,0),"")</f>
        <v/>
      </c>
      <c r="E200" s="60">
        <f t="shared" si="25"/>
        <v>0</v>
      </c>
      <c r="F200" s="62">
        <f t="shared" si="26"/>
        <v>0</v>
      </c>
    </row>
    <row r="201" spans="1:9" ht="18" customHeight="1" x14ac:dyDescent="0.25">
      <c r="A201" s="40">
        <v>643</v>
      </c>
      <c r="B201" s="41" t="s">
        <v>173</v>
      </c>
      <c r="C201" s="60" t="str">
        <f>IFERROR(VLOOKUP($A201,'CARİ DÖNEM MİZAN'!$A:$E,COLUMN()+0,0),"")</f>
        <v/>
      </c>
      <c r="D201" s="60" t="str">
        <f>IFERROR(VLOOKUP($A201,'CARİ DÖNEM MİZAN'!$A:$E,COLUMN()+0,0),"")</f>
        <v/>
      </c>
      <c r="E201" s="60">
        <f t="shared" si="25"/>
        <v>0</v>
      </c>
      <c r="F201" s="62">
        <f t="shared" si="26"/>
        <v>0</v>
      </c>
    </row>
    <row r="202" spans="1:9" ht="18" customHeight="1" x14ac:dyDescent="0.25">
      <c r="A202" s="40">
        <v>644</v>
      </c>
      <c r="B202" s="41" t="s">
        <v>174</v>
      </c>
      <c r="C202" s="60" t="str">
        <f>IFERROR(VLOOKUP($A202,'CARİ DÖNEM MİZAN'!$A:$E,COLUMN()+0,0),"")</f>
        <v/>
      </c>
      <c r="D202" s="60" t="str">
        <f>IFERROR(VLOOKUP($A202,'CARİ DÖNEM MİZAN'!$A:$E,COLUMN()+0,0),"")</f>
        <v/>
      </c>
      <c r="E202" s="60">
        <f t="shared" si="25"/>
        <v>0</v>
      </c>
      <c r="F202" s="62">
        <f t="shared" si="26"/>
        <v>0</v>
      </c>
    </row>
    <row r="203" spans="1:9" ht="18" customHeight="1" x14ac:dyDescent="0.25">
      <c r="A203" s="40">
        <v>645</v>
      </c>
      <c r="B203" s="41" t="s">
        <v>175</v>
      </c>
      <c r="C203" s="60" t="str">
        <f>IFERROR(VLOOKUP($A203,'CARİ DÖNEM MİZAN'!$A:$E,COLUMN()+0,0),"")</f>
        <v/>
      </c>
      <c r="D203" s="60" t="str">
        <f>IFERROR(VLOOKUP($A203,'CARİ DÖNEM MİZAN'!$A:$E,COLUMN()+0,0),"")</f>
        <v/>
      </c>
      <c r="E203" s="60">
        <f t="shared" si="25"/>
        <v>0</v>
      </c>
      <c r="F203" s="62">
        <f t="shared" si="26"/>
        <v>0</v>
      </c>
    </row>
    <row r="204" spans="1:9" ht="18" customHeight="1" x14ac:dyDescent="0.25">
      <c r="A204" s="40">
        <v>646</v>
      </c>
      <c r="B204" s="41" t="s">
        <v>176</v>
      </c>
      <c r="C204" s="60" t="str">
        <f>IFERROR(VLOOKUP($A204,'CARİ DÖNEM MİZAN'!$A:$E,COLUMN()+0,0),"")</f>
        <v/>
      </c>
      <c r="D204" s="60" t="str">
        <f>IFERROR(VLOOKUP($A204,'CARİ DÖNEM MİZAN'!$A:$E,COLUMN()+0,0),"")</f>
        <v/>
      </c>
      <c r="E204" s="60">
        <f t="shared" si="25"/>
        <v>0</v>
      </c>
      <c r="F204" s="62">
        <f t="shared" si="26"/>
        <v>0</v>
      </c>
    </row>
    <row r="205" spans="1:9" ht="18" customHeight="1" x14ac:dyDescent="0.25">
      <c r="A205" s="40">
        <v>647</v>
      </c>
      <c r="B205" s="41" t="s">
        <v>177</v>
      </c>
      <c r="C205" s="60" t="str">
        <f>IFERROR(VLOOKUP($A205,'CARİ DÖNEM MİZAN'!$A:$E,COLUMN()+0,0),"")</f>
        <v/>
      </c>
      <c r="D205" s="60" t="str">
        <f>IFERROR(VLOOKUP($A205,'CARİ DÖNEM MİZAN'!$A:$E,COLUMN()+0,0),"")</f>
        <v/>
      </c>
      <c r="E205" s="60">
        <f t="shared" si="25"/>
        <v>0</v>
      </c>
      <c r="F205" s="62">
        <f t="shared" si="26"/>
        <v>0</v>
      </c>
    </row>
    <row r="206" spans="1:9" ht="18" customHeight="1" x14ac:dyDescent="0.25">
      <c r="A206" s="40">
        <v>648</v>
      </c>
      <c r="B206" s="41" t="s">
        <v>244</v>
      </c>
      <c r="C206" s="60" t="str">
        <f>IFERROR(VLOOKUP($A206,'CARİ DÖNEM MİZAN'!$A:$E,COLUMN()+0,0),"")</f>
        <v/>
      </c>
      <c r="D206" s="60" t="str">
        <f>IFERROR(VLOOKUP($A206,'CARİ DÖNEM MİZAN'!$A:$E,COLUMN()+0,0),"")</f>
        <v/>
      </c>
      <c r="E206" s="60">
        <f t="shared" ref="E206" si="27">IF(C206&gt;D206,C206-D206,0)</f>
        <v>0</v>
      </c>
      <c r="F206" s="62">
        <f t="shared" ref="F206" si="28">IF(D206&gt;C206,D206-C206,0)</f>
        <v>0</v>
      </c>
    </row>
    <row r="207" spans="1:9" ht="18" customHeight="1" x14ac:dyDescent="0.25">
      <c r="A207" s="40">
        <v>649</v>
      </c>
      <c r="B207" s="41" t="s">
        <v>178</v>
      </c>
      <c r="C207" s="60" t="str">
        <f>IFERROR(VLOOKUP($A207,'CARİ DÖNEM MİZAN'!$A:$E,COLUMN()+0,0),"")</f>
        <v/>
      </c>
      <c r="D207" s="60" t="str">
        <f>IFERROR(VLOOKUP($A207,'CARİ DÖNEM MİZAN'!$A:$E,COLUMN()+0,0),"")</f>
        <v/>
      </c>
      <c r="E207" s="60">
        <f t="shared" si="25"/>
        <v>0</v>
      </c>
      <c r="F207" s="62">
        <f t="shared" si="26"/>
        <v>0</v>
      </c>
    </row>
    <row r="208" spans="1:9" s="12" customFormat="1" ht="18" customHeight="1" x14ac:dyDescent="0.25">
      <c r="A208" s="34">
        <v>65</v>
      </c>
      <c r="B208" s="35" t="s">
        <v>179</v>
      </c>
      <c r="C208" s="63">
        <f>SUM(C209:C214)</f>
        <v>0</v>
      </c>
      <c r="D208" s="63">
        <f>SUM(D209:D214)</f>
        <v>0</v>
      </c>
      <c r="E208" s="63">
        <f>SUM(E209:E214)</f>
        <v>0</v>
      </c>
      <c r="F208" s="65">
        <f>SUM(F209:F214)</f>
        <v>0</v>
      </c>
      <c r="H208" s="13"/>
      <c r="I208" s="14"/>
    </row>
    <row r="209" spans="1:9" ht="18" customHeight="1" x14ac:dyDescent="0.25">
      <c r="A209" s="40">
        <v>653</v>
      </c>
      <c r="B209" s="41" t="s">
        <v>180</v>
      </c>
      <c r="C209" s="60" t="str">
        <f>IFERROR(VLOOKUP($A209,'CARİ DÖNEM MİZAN'!$A:$E,COLUMN()+0,0),"")</f>
        <v/>
      </c>
      <c r="D209" s="60" t="str">
        <f>IFERROR(VLOOKUP($A209,'CARİ DÖNEM MİZAN'!$A:$E,COLUMN()+0,0),"")</f>
        <v/>
      </c>
      <c r="E209" s="60">
        <f t="shared" ref="E209:E214" si="29">IF(C209&gt;D209,C209-D209,0)</f>
        <v>0</v>
      </c>
      <c r="F209" s="62">
        <f t="shared" ref="F209:F214" si="30">IF(D209&gt;C209,D209-C209,0)</f>
        <v>0</v>
      </c>
    </row>
    <row r="210" spans="1:9" ht="18" customHeight="1" x14ac:dyDescent="0.25">
      <c r="A210" s="40">
        <v>654</v>
      </c>
      <c r="B210" s="41" t="s">
        <v>181</v>
      </c>
      <c r="C210" s="60" t="str">
        <f>IFERROR(VLOOKUP($A210,'CARİ DÖNEM MİZAN'!$A:$E,COLUMN()+0,0),"")</f>
        <v/>
      </c>
      <c r="D210" s="60" t="str">
        <f>IFERROR(VLOOKUP($A210,'CARİ DÖNEM MİZAN'!$A:$E,COLUMN()+0,0),"")</f>
        <v/>
      </c>
      <c r="E210" s="60">
        <f t="shared" si="29"/>
        <v>0</v>
      </c>
      <c r="F210" s="62">
        <f t="shared" si="30"/>
        <v>0</v>
      </c>
    </row>
    <row r="211" spans="1:9" ht="18" customHeight="1" x14ac:dyDescent="0.25">
      <c r="A211" s="40">
        <v>655</v>
      </c>
      <c r="B211" s="41" t="s">
        <v>182</v>
      </c>
      <c r="C211" s="60" t="str">
        <f>IFERROR(VLOOKUP($A211,'CARİ DÖNEM MİZAN'!$A:$E,COLUMN()+0,0),"")</f>
        <v/>
      </c>
      <c r="D211" s="60" t="str">
        <f>IFERROR(VLOOKUP($A211,'CARİ DÖNEM MİZAN'!$A:$E,COLUMN()+0,0),"")</f>
        <v/>
      </c>
      <c r="E211" s="60">
        <f t="shared" si="29"/>
        <v>0</v>
      </c>
      <c r="F211" s="62">
        <f t="shared" si="30"/>
        <v>0</v>
      </c>
    </row>
    <row r="212" spans="1:9" ht="18" customHeight="1" x14ac:dyDescent="0.25">
      <c r="A212" s="40">
        <v>656</v>
      </c>
      <c r="B212" s="41" t="s">
        <v>183</v>
      </c>
      <c r="C212" s="60" t="str">
        <f>IFERROR(VLOOKUP($A212,'CARİ DÖNEM MİZAN'!$A:$E,COLUMN()+0,0),"")</f>
        <v/>
      </c>
      <c r="D212" s="60" t="str">
        <f>IFERROR(VLOOKUP($A212,'CARİ DÖNEM MİZAN'!$A:$E,COLUMN()+0,0),"")</f>
        <v/>
      </c>
      <c r="E212" s="60">
        <f t="shared" si="29"/>
        <v>0</v>
      </c>
      <c r="F212" s="62">
        <f t="shared" si="30"/>
        <v>0</v>
      </c>
    </row>
    <row r="213" spans="1:9" ht="18" customHeight="1" x14ac:dyDescent="0.25">
      <c r="A213" s="40">
        <v>657</v>
      </c>
      <c r="B213" s="41" t="s">
        <v>184</v>
      </c>
      <c r="C213" s="60" t="str">
        <f>IFERROR(VLOOKUP($A213,'CARİ DÖNEM MİZAN'!$A:$E,COLUMN()+0,0),"")</f>
        <v/>
      </c>
      <c r="D213" s="60" t="str">
        <f>IFERROR(VLOOKUP($A213,'CARİ DÖNEM MİZAN'!$A:$E,COLUMN()+0,0),"")</f>
        <v/>
      </c>
      <c r="E213" s="60">
        <f t="shared" si="29"/>
        <v>0</v>
      </c>
      <c r="F213" s="62">
        <f t="shared" si="30"/>
        <v>0</v>
      </c>
    </row>
    <row r="214" spans="1:9" ht="18" customHeight="1" x14ac:dyDescent="0.25">
      <c r="A214" s="40">
        <v>659</v>
      </c>
      <c r="B214" s="41" t="s">
        <v>185</v>
      </c>
      <c r="C214" s="60" t="str">
        <f>IFERROR(VLOOKUP($A214,'CARİ DÖNEM MİZAN'!$A:$E,COLUMN()+0,0),"")</f>
        <v/>
      </c>
      <c r="D214" s="60" t="str">
        <f>IFERROR(VLOOKUP($A214,'CARİ DÖNEM MİZAN'!$A:$E,COLUMN()+0,0),"")</f>
        <v/>
      </c>
      <c r="E214" s="60">
        <f t="shared" si="29"/>
        <v>0</v>
      </c>
      <c r="F214" s="62">
        <f t="shared" si="30"/>
        <v>0</v>
      </c>
    </row>
    <row r="215" spans="1:9" s="12" customFormat="1" ht="18" customHeight="1" x14ac:dyDescent="0.25">
      <c r="A215" s="34">
        <v>66</v>
      </c>
      <c r="B215" s="35" t="s">
        <v>186</v>
      </c>
      <c r="C215" s="63">
        <f>SUM(C216:C217)</f>
        <v>0</v>
      </c>
      <c r="D215" s="63">
        <f>SUM(D216:D217)</f>
        <v>0</v>
      </c>
      <c r="E215" s="63">
        <f>SUM(E216:E217)</f>
        <v>0</v>
      </c>
      <c r="F215" s="65">
        <f>SUM(F216:F217)</f>
        <v>0</v>
      </c>
      <c r="H215" s="13"/>
      <c r="I215" s="14"/>
    </row>
    <row r="216" spans="1:9" ht="18" customHeight="1" x14ac:dyDescent="0.25">
      <c r="A216" s="40">
        <v>660</v>
      </c>
      <c r="B216" s="41" t="s">
        <v>187</v>
      </c>
      <c r="C216" s="60" t="str">
        <f>IFERROR(VLOOKUP($A216,'CARİ DÖNEM MİZAN'!$A:$E,COLUMN()+0,0),"")</f>
        <v/>
      </c>
      <c r="D216" s="60" t="str">
        <f>IFERROR(VLOOKUP($A216,'CARİ DÖNEM MİZAN'!$A:$E,COLUMN()+0,0),"")</f>
        <v/>
      </c>
      <c r="E216" s="60">
        <f>IF(C216&gt;D216,C216-D216,0)</f>
        <v>0</v>
      </c>
      <c r="F216" s="62">
        <f>IF(D216&gt;C216,D216-C216,0)</f>
        <v>0</v>
      </c>
    </row>
    <row r="217" spans="1:9" ht="18" customHeight="1" x14ac:dyDescent="0.25">
      <c r="A217" s="40">
        <v>661</v>
      </c>
      <c r="B217" s="41" t="s">
        <v>188</v>
      </c>
      <c r="C217" s="60" t="str">
        <f>IFERROR(VLOOKUP($A217,'CARİ DÖNEM MİZAN'!$A:$E,COLUMN()+0,0),"")</f>
        <v/>
      </c>
      <c r="D217" s="60" t="str">
        <f>IFERROR(VLOOKUP($A217,'CARİ DÖNEM MİZAN'!$A:$E,COLUMN()+0,0),"")</f>
        <v/>
      </c>
      <c r="E217" s="60">
        <f>IF(C217&gt;D217,C217-D217,0)</f>
        <v>0</v>
      </c>
      <c r="F217" s="62">
        <f>IF(D217&gt;C217,D217-C217,0)</f>
        <v>0</v>
      </c>
    </row>
    <row r="218" spans="1:9" s="12" customFormat="1" ht="18" customHeight="1" x14ac:dyDescent="0.25">
      <c r="A218" s="34">
        <v>67</v>
      </c>
      <c r="B218" s="35" t="s">
        <v>189</v>
      </c>
      <c r="C218" s="63">
        <f>SUM(C219:C220)</f>
        <v>0</v>
      </c>
      <c r="D218" s="63">
        <f>SUM(D219:D220)</f>
        <v>0</v>
      </c>
      <c r="E218" s="63">
        <f>SUM(E219:E220)</f>
        <v>0</v>
      </c>
      <c r="F218" s="65">
        <f>SUM(F219:F220)</f>
        <v>0</v>
      </c>
      <c r="H218" s="13"/>
      <c r="I218" s="14"/>
    </row>
    <row r="219" spans="1:9" ht="18" customHeight="1" x14ac:dyDescent="0.25">
      <c r="A219" s="40">
        <v>671</v>
      </c>
      <c r="B219" s="41" t="s">
        <v>190</v>
      </c>
      <c r="C219" s="60" t="str">
        <f>IFERROR(VLOOKUP($A219,'CARİ DÖNEM MİZAN'!$A:$E,COLUMN()+0,0),"")</f>
        <v/>
      </c>
      <c r="D219" s="60" t="str">
        <f>IFERROR(VLOOKUP($A219,'CARİ DÖNEM MİZAN'!$A:$E,COLUMN()+0,0),"")</f>
        <v/>
      </c>
      <c r="E219" s="60">
        <f>IF(C219&gt;D219,C219-D219,0)</f>
        <v>0</v>
      </c>
      <c r="F219" s="62">
        <f>IF(D219&gt;C219,D219-C219,0)</f>
        <v>0</v>
      </c>
    </row>
    <row r="220" spans="1:9" ht="18" customHeight="1" x14ac:dyDescent="0.25">
      <c r="A220" s="40">
        <v>679</v>
      </c>
      <c r="B220" s="41" t="s">
        <v>191</v>
      </c>
      <c r="C220" s="60" t="str">
        <f>IFERROR(VLOOKUP($A220,'CARİ DÖNEM MİZAN'!$A:$E,COLUMN()+0,0),"")</f>
        <v/>
      </c>
      <c r="D220" s="60" t="str">
        <f>IFERROR(VLOOKUP($A220,'CARİ DÖNEM MİZAN'!$A:$E,COLUMN()+0,0),"")</f>
        <v/>
      </c>
      <c r="E220" s="60">
        <f>IF(C220&gt;D220,C220-D220,0)</f>
        <v>0</v>
      </c>
      <c r="F220" s="62">
        <f>IF(D220&gt;C220,D220-C220,0)</f>
        <v>0</v>
      </c>
    </row>
    <row r="221" spans="1:9" s="12" customFormat="1" ht="18" customHeight="1" x14ac:dyDescent="0.25">
      <c r="A221" s="34">
        <v>68</v>
      </c>
      <c r="B221" s="35" t="s">
        <v>192</v>
      </c>
      <c r="C221" s="63">
        <f>SUM(C222:C224)</f>
        <v>0</v>
      </c>
      <c r="D221" s="63">
        <f>SUM(D222:D224)</f>
        <v>0</v>
      </c>
      <c r="E221" s="63">
        <f>SUM(E222:E224)</f>
        <v>0</v>
      </c>
      <c r="F221" s="65">
        <f>SUM(F222:F224)</f>
        <v>0</v>
      </c>
      <c r="H221" s="13"/>
      <c r="I221" s="14"/>
    </row>
    <row r="222" spans="1:9" ht="18" customHeight="1" x14ac:dyDescent="0.25">
      <c r="A222" s="40">
        <v>680</v>
      </c>
      <c r="B222" s="41" t="s">
        <v>193</v>
      </c>
      <c r="C222" s="60" t="str">
        <f>IFERROR(VLOOKUP($A222,'CARİ DÖNEM MİZAN'!$A:$E,COLUMN()+0,0),"")</f>
        <v/>
      </c>
      <c r="D222" s="60" t="str">
        <f>IFERROR(VLOOKUP($A222,'CARİ DÖNEM MİZAN'!$A:$E,COLUMN()+0,0),"")</f>
        <v/>
      </c>
      <c r="E222" s="60">
        <f>IF(C222&gt;D222,C222-D222,0)</f>
        <v>0</v>
      </c>
      <c r="F222" s="62">
        <f>IF(D222&gt;C222,D222-C222,0)</f>
        <v>0</v>
      </c>
    </row>
    <row r="223" spans="1:9" ht="18" customHeight="1" x14ac:dyDescent="0.25">
      <c r="A223" s="40">
        <v>681</v>
      </c>
      <c r="B223" s="41" t="s">
        <v>194</v>
      </c>
      <c r="C223" s="60" t="str">
        <f>IFERROR(VLOOKUP($A223,'CARİ DÖNEM MİZAN'!$A:$E,COLUMN()+0,0),"")</f>
        <v/>
      </c>
      <c r="D223" s="60" t="str">
        <f>IFERROR(VLOOKUP($A223,'CARİ DÖNEM MİZAN'!$A:$E,COLUMN()+0,0),"")</f>
        <v/>
      </c>
      <c r="E223" s="60">
        <f>IF(C223&gt;D223,C223-D223,0)</f>
        <v>0</v>
      </c>
      <c r="F223" s="62">
        <f>IF(D223&gt;C223,D223-C223,0)</f>
        <v>0</v>
      </c>
    </row>
    <row r="224" spans="1:9" ht="18" customHeight="1" x14ac:dyDescent="0.25">
      <c r="A224" s="40">
        <v>689</v>
      </c>
      <c r="B224" s="41" t="s">
        <v>195</v>
      </c>
      <c r="C224" s="60" t="str">
        <f>IFERROR(VLOOKUP($A224,'CARİ DÖNEM MİZAN'!$A:$E,COLUMN()+0,0),"")</f>
        <v/>
      </c>
      <c r="D224" s="60" t="str">
        <f>IFERROR(VLOOKUP($A224,'CARİ DÖNEM MİZAN'!$A:$E,COLUMN()+0,0),"")</f>
        <v/>
      </c>
      <c r="E224" s="60">
        <f>IF(C224&gt;D224,C224-D224,0)</f>
        <v>0</v>
      </c>
      <c r="F224" s="62">
        <f>IF(D224&gt;C224,D224-C224,0)</f>
        <v>0</v>
      </c>
    </row>
    <row r="225" spans="1:9" s="12" customFormat="1" ht="18" customHeight="1" x14ac:dyDescent="0.25">
      <c r="A225" s="34">
        <v>69</v>
      </c>
      <c r="B225" s="35" t="s">
        <v>148</v>
      </c>
      <c r="C225" s="63">
        <f>SUM(C226:C227:C228:C229:C230)</f>
        <v>7336910.1299999999</v>
      </c>
      <c r="D225" s="63">
        <f>SUM(D226:D227:D228:D229:D230)</f>
        <v>7336910.1299999999</v>
      </c>
      <c r="E225" s="63">
        <f>SUM(E226:E227:E228:E229:E230)</f>
        <v>0</v>
      </c>
      <c r="F225" s="63">
        <f>SUM(F226:F227:F228:F229:F230)</f>
        <v>0</v>
      </c>
      <c r="H225" s="13"/>
      <c r="I225" s="14"/>
    </row>
    <row r="226" spans="1:9" ht="18" customHeight="1" x14ac:dyDescent="0.25">
      <c r="A226" s="40">
        <v>690</v>
      </c>
      <c r="B226" s="41" t="s">
        <v>196</v>
      </c>
      <c r="C226" s="60">
        <f>IFERROR(VLOOKUP($A226,'CARİ DÖNEM MİZAN'!$A:$E,COLUMN()+0,0),"")</f>
        <v>391774.27</v>
      </c>
      <c r="D226" s="60">
        <f>IFERROR(VLOOKUP($A226,'CARİ DÖNEM MİZAN'!$A:$E,COLUMN()+0,0),"")</f>
        <v>391774.27</v>
      </c>
      <c r="E226" s="60">
        <f>IF(C226&gt;D226,C226-D226,0)</f>
        <v>0</v>
      </c>
      <c r="F226" s="62">
        <f>IF(D226&gt;C226,D226-C226,0)</f>
        <v>0</v>
      </c>
    </row>
    <row r="227" spans="1:9" ht="18" customHeight="1" x14ac:dyDescent="0.25">
      <c r="A227" s="40">
        <v>691</v>
      </c>
      <c r="B227" s="41" t="s">
        <v>197</v>
      </c>
      <c r="C227" s="60">
        <f>IFERROR(VLOOKUP($A227,'CARİ DÖNEM MİZAN'!$A:$E,COLUMN()+0,0),"")</f>
        <v>97943.57</v>
      </c>
      <c r="D227" s="60">
        <f>IFERROR(VLOOKUP($A227,'CARİ DÖNEM MİZAN'!$A:$E,COLUMN()+0,0),"")</f>
        <v>97943.57</v>
      </c>
      <c r="E227" s="60">
        <f>IF(C227&gt;D227,C227-D227,0)</f>
        <v>0</v>
      </c>
      <c r="F227" s="62">
        <f>IF(D227&gt;C227,D227-C227,0)</f>
        <v>0</v>
      </c>
    </row>
    <row r="228" spans="1:9" ht="18" customHeight="1" x14ac:dyDescent="0.25">
      <c r="A228" s="40">
        <v>692</v>
      </c>
      <c r="B228" s="41" t="s">
        <v>198</v>
      </c>
      <c r="C228" s="60">
        <f>IFERROR(VLOOKUP($A228,'CARİ DÖNEM MİZAN'!$A:$E,COLUMN()+0,0),"")</f>
        <v>293830.7</v>
      </c>
      <c r="D228" s="60">
        <f>IFERROR(VLOOKUP($A228,'CARİ DÖNEM MİZAN'!$A:$E,COLUMN()+0,0),"")</f>
        <v>293830.7</v>
      </c>
      <c r="E228" s="60">
        <f>IF(C228&gt;D228,C228-D228,0)</f>
        <v>0</v>
      </c>
      <c r="F228" s="62">
        <f>IF(D228&gt;C228,D228-C228,0)</f>
        <v>0</v>
      </c>
    </row>
    <row r="229" spans="1:9" ht="18" customHeight="1" x14ac:dyDescent="0.25">
      <c r="A229" s="40">
        <v>697</v>
      </c>
      <c r="B229" s="41" t="s">
        <v>248</v>
      </c>
      <c r="C229" s="60" t="str">
        <f>IFERROR(VLOOKUP($A229,'CARİ DÖNEM MİZAN'!$A:$E,COLUMN()+0,0),"")</f>
        <v/>
      </c>
      <c r="D229" s="60" t="str">
        <f>IFERROR(VLOOKUP($A229,'CARİ DÖNEM MİZAN'!$A:$E,COLUMN()+0,0),"")</f>
        <v/>
      </c>
      <c r="E229" s="60">
        <f>IF(C229&gt;D229,C229-D229,0)</f>
        <v>0</v>
      </c>
      <c r="F229" s="62">
        <f>IF(D229&gt;C229,D229-C229,0)</f>
        <v>0</v>
      </c>
    </row>
    <row r="230" spans="1:9" ht="18" customHeight="1" x14ac:dyDescent="0.25">
      <c r="A230" s="40">
        <v>698</v>
      </c>
      <c r="B230" s="41" t="s">
        <v>220</v>
      </c>
      <c r="C230" s="60">
        <f>IFERROR(VLOOKUP($A230,'CARİ DÖNEM MİZAN'!$A:$E,COLUMN()+0,0),"")</f>
        <v>6553361.5899999999</v>
      </c>
      <c r="D230" s="60">
        <f>IFERROR(VLOOKUP($A230,'CARİ DÖNEM MİZAN'!$A:$E,COLUMN()+0,0),"")</f>
        <v>6553361.5899999999</v>
      </c>
      <c r="E230" s="60">
        <f>IF(C230&gt;D230,C230-D230,0)</f>
        <v>0</v>
      </c>
      <c r="F230" s="62">
        <f>IF(D230&gt;C230,D230-C230,0)</f>
        <v>0</v>
      </c>
    </row>
    <row r="231" spans="1:9" s="4" customFormat="1" ht="18" customHeight="1" x14ac:dyDescent="0.25">
      <c r="A231" s="36">
        <v>7</v>
      </c>
      <c r="B231" s="37" t="s">
        <v>199</v>
      </c>
      <c r="C231" s="66">
        <f>C232+C235+C238+C241+C244+C246+C249+C252</f>
        <v>2312545.36</v>
      </c>
      <c r="D231" s="66">
        <f>D232+D235+D238+D241+D244+D246+D249+D252</f>
        <v>2312545.36</v>
      </c>
      <c r="E231" s="66">
        <f>E232+E235+E238+E241+E244+E246+E249+E252</f>
        <v>0</v>
      </c>
      <c r="F231" s="68">
        <f>F232+F235+F238+F241+F244+F246+F249+F252</f>
        <v>0</v>
      </c>
      <c r="H231" s="10"/>
      <c r="I231" s="11"/>
    </row>
    <row r="232" spans="1:9" s="12" customFormat="1" ht="18" customHeight="1" x14ac:dyDescent="0.25">
      <c r="A232" s="34">
        <v>71</v>
      </c>
      <c r="B232" s="35" t="s">
        <v>200</v>
      </c>
      <c r="C232" s="63">
        <f>SUM(C233:C234)</f>
        <v>0</v>
      </c>
      <c r="D232" s="63">
        <f>SUM(D233:D234)</f>
        <v>0</v>
      </c>
      <c r="E232" s="63">
        <f>SUM(E233:E234)</f>
        <v>0</v>
      </c>
      <c r="F232" s="65">
        <f>SUM(F233:F234)</f>
        <v>0</v>
      </c>
      <c r="H232" s="13"/>
      <c r="I232" s="14"/>
    </row>
    <row r="233" spans="1:9" ht="18" customHeight="1" x14ac:dyDescent="0.25">
      <c r="A233" s="40">
        <v>710</v>
      </c>
      <c r="B233" s="41" t="s">
        <v>201</v>
      </c>
      <c r="C233" s="60" t="str">
        <f>IFERROR(VLOOKUP($A233,'CARİ DÖNEM MİZAN'!$A:$E,COLUMN()+0,0),"")</f>
        <v/>
      </c>
      <c r="D233" s="60" t="str">
        <f>IFERROR(VLOOKUP($A233,'CARİ DÖNEM MİZAN'!$A:$E,COLUMN()+0,0),"")</f>
        <v/>
      </c>
      <c r="E233" s="60">
        <f>IF(C233&gt;D233,C233-D233,0)</f>
        <v>0</v>
      </c>
      <c r="F233" s="62">
        <f>IF(D233&gt;C233,D233-C233,0)</f>
        <v>0</v>
      </c>
    </row>
    <row r="234" spans="1:9" ht="18" customHeight="1" x14ac:dyDescent="0.25">
      <c r="A234" s="40">
        <v>711</v>
      </c>
      <c r="B234" s="41" t="s">
        <v>202</v>
      </c>
      <c r="C234" s="60" t="str">
        <f>IFERROR(VLOOKUP($A234,'CARİ DÖNEM MİZAN'!$A:$E,COLUMN()+0,0),"")</f>
        <v/>
      </c>
      <c r="D234" s="60" t="str">
        <f>IFERROR(VLOOKUP($A234,'CARİ DÖNEM MİZAN'!$A:$E,COLUMN()+0,0),"")</f>
        <v/>
      </c>
      <c r="E234" s="60">
        <f>IF(C234&gt;D234,C234-D234,0)</f>
        <v>0</v>
      </c>
      <c r="F234" s="62">
        <f>IF(D234&gt;C234,D234-C234,0)</f>
        <v>0</v>
      </c>
    </row>
    <row r="235" spans="1:9" s="12" customFormat="1" ht="18" customHeight="1" x14ac:dyDescent="0.25">
      <c r="A235" s="34">
        <v>72</v>
      </c>
      <c r="B235" s="35" t="s">
        <v>203</v>
      </c>
      <c r="C235" s="63">
        <f>SUM(C236:C237)</f>
        <v>0</v>
      </c>
      <c r="D235" s="63">
        <f>SUM(D236:D237)</f>
        <v>0</v>
      </c>
      <c r="E235" s="63">
        <f>SUM(E236:E237)</f>
        <v>0</v>
      </c>
      <c r="F235" s="65">
        <f>SUM(F236:F237)</f>
        <v>0</v>
      </c>
      <c r="H235" s="13"/>
      <c r="I235" s="14"/>
    </row>
    <row r="236" spans="1:9" ht="18" customHeight="1" x14ac:dyDescent="0.25">
      <c r="A236" s="40">
        <v>720</v>
      </c>
      <c r="B236" s="41" t="s">
        <v>204</v>
      </c>
      <c r="C236" s="60" t="str">
        <f>IFERROR(VLOOKUP($A236,'CARİ DÖNEM MİZAN'!$A:$E,COLUMN()+0,0),"")</f>
        <v/>
      </c>
      <c r="D236" s="60" t="str">
        <f>IFERROR(VLOOKUP($A236,'CARİ DÖNEM MİZAN'!$A:$E,COLUMN()+0,0),"")</f>
        <v/>
      </c>
      <c r="E236" s="60">
        <f>IF(C236&gt;D236,C236-D236,0)</f>
        <v>0</v>
      </c>
      <c r="F236" s="62">
        <f>IF(D236&gt;C236,D236-C236,0)</f>
        <v>0</v>
      </c>
    </row>
    <row r="237" spans="1:9" ht="18" customHeight="1" x14ac:dyDescent="0.25">
      <c r="A237" s="40">
        <v>721</v>
      </c>
      <c r="B237" s="41" t="s">
        <v>205</v>
      </c>
      <c r="C237" s="60" t="str">
        <f>IFERROR(VLOOKUP($A237,'CARİ DÖNEM MİZAN'!$A:$E,COLUMN()+0,0),"")</f>
        <v/>
      </c>
      <c r="D237" s="60" t="str">
        <f>IFERROR(VLOOKUP($A237,'CARİ DÖNEM MİZAN'!$A:$E,COLUMN()+0,0),"")</f>
        <v/>
      </c>
      <c r="E237" s="60">
        <f>IF(C237&gt;D237,C237-D237,0)</f>
        <v>0</v>
      </c>
      <c r="F237" s="62">
        <f>IF(D237&gt;C237,D237-C237,0)</f>
        <v>0</v>
      </c>
    </row>
    <row r="238" spans="1:9" s="12" customFormat="1" ht="18" customHeight="1" x14ac:dyDescent="0.25">
      <c r="A238" s="34">
        <v>73</v>
      </c>
      <c r="B238" s="35" t="s">
        <v>206</v>
      </c>
      <c r="C238" s="63">
        <f>SUM(C239:C240)</f>
        <v>0</v>
      </c>
      <c r="D238" s="63">
        <f>SUM(D239:D240)</f>
        <v>0</v>
      </c>
      <c r="E238" s="63">
        <f>SUM(E239:E240)</f>
        <v>0</v>
      </c>
      <c r="F238" s="65">
        <f>SUM(F239:F240)</f>
        <v>0</v>
      </c>
      <c r="H238" s="13"/>
      <c r="I238" s="14"/>
    </row>
    <row r="239" spans="1:9" ht="18" customHeight="1" x14ac:dyDescent="0.25">
      <c r="A239" s="40">
        <v>730</v>
      </c>
      <c r="B239" s="41" t="s">
        <v>207</v>
      </c>
      <c r="C239" s="60" t="str">
        <f>IFERROR(VLOOKUP($A239,'CARİ DÖNEM MİZAN'!$A:$E,COLUMN()+0,0),"")</f>
        <v/>
      </c>
      <c r="D239" s="60" t="str">
        <f>IFERROR(VLOOKUP($A239,'CARİ DÖNEM MİZAN'!$A:$E,COLUMN()+0,0),"")</f>
        <v/>
      </c>
      <c r="E239" s="60">
        <f>IF(C239&gt;D239,C239-D239,0)</f>
        <v>0</v>
      </c>
      <c r="F239" s="62">
        <f>IF(D239&gt;C239,D239-C239,0)</f>
        <v>0</v>
      </c>
    </row>
    <row r="240" spans="1:9" ht="18" customHeight="1" x14ac:dyDescent="0.25">
      <c r="A240" s="40">
        <v>731</v>
      </c>
      <c r="B240" s="41" t="s">
        <v>208</v>
      </c>
      <c r="C240" s="60" t="str">
        <f>IFERROR(VLOOKUP($A240,'CARİ DÖNEM MİZAN'!$A:$E,COLUMN()+0,0),"")</f>
        <v/>
      </c>
      <c r="D240" s="60" t="str">
        <f>IFERROR(VLOOKUP($A240,'CARİ DÖNEM MİZAN'!$A:$E,COLUMN()+0,0),"")</f>
        <v/>
      </c>
      <c r="E240" s="60">
        <f>IF(C240&gt;D240,C240-D240,0)</f>
        <v>0</v>
      </c>
      <c r="F240" s="62">
        <f>IF(D240&gt;C240,D240-C240,0)</f>
        <v>0</v>
      </c>
    </row>
    <row r="241" spans="1:9" s="12" customFormat="1" ht="18" customHeight="1" x14ac:dyDescent="0.25">
      <c r="A241" s="34">
        <v>74</v>
      </c>
      <c r="B241" s="35" t="s">
        <v>209</v>
      </c>
      <c r="C241" s="63">
        <f>SUM(C242:C243)</f>
        <v>2297501.61</v>
      </c>
      <c r="D241" s="63">
        <f>SUM(D242:D243)</f>
        <v>2297501.61</v>
      </c>
      <c r="E241" s="63">
        <f>SUM(E242:E243)</f>
        <v>0</v>
      </c>
      <c r="F241" s="65">
        <f>SUM(F242:F243)</f>
        <v>0</v>
      </c>
      <c r="H241" s="13"/>
      <c r="I241" s="14"/>
    </row>
    <row r="242" spans="1:9" ht="18" customHeight="1" x14ac:dyDescent="0.25">
      <c r="A242" s="40">
        <v>740</v>
      </c>
      <c r="B242" s="41" t="s">
        <v>210</v>
      </c>
      <c r="C242" s="60">
        <f>IFERROR(VLOOKUP($A242,'CARİ DÖNEM MİZAN'!$A:$E,COLUMN()+0,0),"")</f>
        <v>1141228.93</v>
      </c>
      <c r="D242" s="60">
        <f>IFERROR(VLOOKUP($A242,'CARİ DÖNEM MİZAN'!$A:$E,COLUMN()+0,0),"")</f>
        <v>1141228.93</v>
      </c>
      <c r="E242" s="60">
        <f>IF(C242&gt;D242,C242-D242,0)</f>
        <v>0</v>
      </c>
      <c r="F242" s="62">
        <f>IF(D242&gt;C242,D242-C242,0)</f>
        <v>0</v>
      </c>
    </row>
    <row r="243" spans="1:9" ht="18" customHeight="1" x14ac:dyDescent="0.25">
      <c r="A243" s="40">
        <v>741</v>
      </c>
      <c r="B243" s="41" t="s">
        <v>216</v>
      </c>
      <c r="C243" s="60">
        <f>IFERROR(VLOOKUP($A243,'CARİ DÖNEM MİZAN'!$A:$E,COLUMN()+0,0),"")</f>
        <v>1156272.68</v>
      </c>
      <c r="D243" s="60">
        <f>IFERROR(VLOOKUP($A243,'CARİ DÖNEM MİZAN'!$A:$E,COLUMN()+0,0),"")</f>
        <v>1156272.68</v>
      </c>
      <c r="E243" s="60">
        <f>IF(C243&gt;D243,C243-D243,0)</f>
        <v>0</v>
      </c>
      <c r="F243" s="62">
        <f>IF(D243&gt;C243,D243-C243,0)</f>
        <v>0</v>
      </c>
    </row>
    <row r="244" spans="1:9" s="12" customFormat="1" ht="18" customHeight="1" x14ac:dyDescent="0.25">
      <c r="A244" s="34">
        <v>75</v>
      </c>
      <c r="B244" s="35" t="s">
        <v>211</v>
      </c>
      <c r="C244" s="63">
        <f>SUM(C245:C245)</f>
        <v>0</v>
      </c>
      <c r="D244" s="63">
        <f>SUM(D245:D245)</f>
        <v>0</v>
      </c>
      <c r="E244" s="63">
        <f>SUM(E245:E245)</f>
        <v>0</v>
      </c>
      <c r="F244" s="65">
        <f>SUM(F245:F245)</f>
        <v>0</v>
      </c>
      <c r="H244" s="13"/>
      <c r="I244" s="14"/>
    </row>
    <row r="245" spans="1:9" ht="18" customHeight="1" x14ac:dyDescent="0.25">
      <c r="A245" s="40">
        <v>750</v>
      </c>
      <c r="B245" s="41" t="s">
        <v>212</v>
      </c>
      <c r="C245" s="60" t="str">
        <f>IFERROR(VLOOKUP($A245,'CARİ DÖNEM MİZAN'!$A:$E,COLUMN()+0,0),"")</f>
        <v/>
      </c>
      <c r="D245" s="60" t="str">
        <f>IFERROR(VLOOKUP($A245,'CARİ DÖNEM MİZAN'!$A:$E,COLUMN()+0,0),"")</f>
        <v/>
      </c>
      <c r="E245" s="60">
        <f>IF(C245&gt;D245,C245-D245,0)</f>
        <v>0</v>
      </c>
      <c r="F245" s="62">
        <f>IF(D245&gt;C245,D245-C245,0)</f>
        <v>0</v>
      </c>
    </row>
    <row r="246" spans="1:9" s="12" customFormat="1" ht="18" customHeight="1" x14ac:dyDescent="0.25">
      <c r="A246" s="34">
        <v>76</v>
      </c>
      <c r="B246" s="35" t="s">
        <v>213</v>
      </c>
      <c r="C246" s="63">
        <f>SUM(C247:C248)</f>
        <v>0</v>
      </c>
      <c r="D246" s="63">
        <f>SUM(D247:D248)</f>
        <v>0</v>
      </c>
      <c r="E246" s="63">
        <f>SUM(E247:E248)</f>
        <v>0</v>
      </c>
      <c r="F246" s="65">
        <f>SUM(F247:F248)</f>
        <v>0</v>
      </c>
      <c r="H246" s="13"/>
      <c r="I246" s="14"/>
    </row>
    <row r="247" spans="1:9" ht="18" customHeight="1" x14ac:dyDescent="0.25">
      <c r="A247" s="40">
        <v>760</v>
      </c>
      <c r="B247" s="41" t="s">
        <v>213</v>
      </c>
      <c r="C247" s="60" t="str">
        <f>IFERROR(VLOOKUP($A247,'CARİ DÖNEM MİZAN'!$A:$E,COLUMN()+0,0),"")</f>
        <v/>
      </c>
      <c r="D247" s="60" t="str">
        <f>IFERROR(VLOOKUP($A247,'CARİ DÖNEM MİZAN'!$A:$E,COLUMN()+0,0),"")</f>
        <v/>
      </c>
      <c r="E247" s="60">
        <f>IF(C247&gt;D247,C247-D247,0)</f>
        <v>0</v>
      </c>
      <c r="F247" s="62">
        <f>IF(D247&gt;C247,D247-C247,0)</f>
        <v>0</v>
      </c>
    </row>
    <row r="248" spans="1:9" ht="18" customHeight="1" x14ac:dyDescent="0.25">
      <c r="A248" s="40">
        <v>761</v>
      </c>
      <c r="B248" s="41" t="s">
        <v>213</v>
      </c>
      <c r="C248" s="60" t="str">
        <f>IFERROR(VLOOKUP($A248,'CARİ DÖNEM MİZAN'!$A:$E,COLUMN()+0,0),"")</f>
        <v/>
      </c>
      <c r="D248" s="60" t="str">
        <f>IFERROR(VLOOKUP($A248,'CARİ DÖNEM MİZAN'!$A:$E,COLUMN()+0,0),"")</f>
        <v/>
      </c>
      <c r="E248" s="60">
        <f>IF(C248&gt;D248,C248-D248,0)</f>
        <v>0</v>
      </c>
      <c r="F248" s="62">
        <f>IF(D248&gt;C248,D248-C248,0)</f>
        <v>0</v>
      </c>
    </row>
    <row r="249" spans="1:9" s="12" customFormat="1" ht="18" customHeight="1" x14ac:dyDescent="0.25">
      <c r="A249" s="34">
        <v>77</v>
      </c>
      <c r="B249" s="35" t="s">
        <v>206</v>
      </c>
      <c r="C249" s="63">
        <f>SUM(C250:C251)</f>
        <v>15043.75</v>
      </c>
      <c r="D249" s="63">
        <f>SUM(D250:D251)</f>
        <v>15043.75</v>
      </c>
      <c r="E249" s="63">
        <f>SUM(E250:E251)</f>
        <v>0</v>
      </c>
      <c r="F249" s="65">
        <f>SUM(F250:F251)</f>
        <v>0</v>
      </c>
      <c r="H249" s="13"/>
      <c r="I249" s="14"/>
    </row>
    <row r="250" spans="1:9" ht="18" customHeight="1" x14ac:dyDescent="0.25">
      <c r="A250" s="40">
        <v>770</v>
      </c>
      <c r="B250" s="41" t="s">
        <v>168</v>
      </c>
      <c r="C250" s="60">
        <f>IFERROR(VLOOKUP($A250,'CARİ DÖNEM MİZAN'!$A:$E,COLUMN()+0,0),"")</f>
        <v>15043.75</v>
      </c>
      <c r="D250" s="60">
        <f>IFERROR(VLOOKUP($A250,'CARİ DÖNEM MİZAN'!$A:$E,COLUMN()+0,0),"")</f>
        <v>15043.75</v>
      </c>
      <c r="E250" s="60">
        <f>IF(C250&gt;D250,C250-D250,0)</f>
        <v>0</v>
      </c>
      <c r="F250" s="62">
        <f>IF(D250&gt;C250,D250-C250,0)</f>
        <v>0</v>
      </c>
    </row>
    <row r="251" spans="1:9" ht="18" customHeight="1" x14ac:dyDescent="0.25">
      <c r="A251" s="40">
        <v>771</v>
      </c>
      <c r="B251" s="41" t="s">
        <v>214</v>
      </c>
      <c r="C251" s="60" t="str">
        <f>IFERROR(VLOOKUP($A251,'CARİ DÖNEM MİZAN'!$A:$E,COLUMN()+0,0),"0,00")</f>
        <v>0,00</v>
      </c>
      <c r="D251" s="60" t="str">
        <f>IFERROR(VLOOKUP($A251,'CARİ DÖNEM MİZAN'!$A:$E,COLUMN()+0,0),"0,00")</f>
        <v>0,00</v>
      </c>
      <c r="E251" s="60">
        <f>IF(C251&gt;D251,C251-D251,0)</f>
        <v>0</v>
      </c>
      <c r="F251" s="62">
        <f>IF(D251&gt;C251,D251-C251,0)</f>
        <v>0</v>
      </c>
    </row>
    <row r="252" spans="1:9" s="22" customFormat="1" ht="18" customHeight="1" x14ac:dyDescent="0.25">
      <c r="A252" s="34">
        <v>78</v>
      </c>
      <c r="B252" s="35" t="s">
        <v>221</v>
      </c>
      <c r="C252" s="63">
        <f>SUM(C253:C254)</f>
        <v>0</v>
      </c>
      <c r="D252" s="63">
        <f>SUM(D253:D254)</f>
        <v>0</v>
      </c>
      <c r="E252" s="63">
        <f>SUM(E253:E254)</f>
        <v>0</v>
      </c>
      <c r="F252" s="65">
        <f>SUM(F253:F254)</f>
        <v>0</v>
      </c>
      <c r="H252" s="23"/>
      <c r="I252" s="24"/>
    </row>
    <row r="253" spans="1:9" ht="18" customHeight="1" x14ac:dyDescent="0.25">
      <c r="A253" s="40">
        <v>780</v>
      </c>
      <c r="B253" s="41" t="s">
        <v>217</v>
      </c>
      <c r="C253" s="60" t="str">
        <f>IFERROR(VLOOKUP($A253,'CARİ DÖNEM MİZAN'!$A:$E,COLUMN()+0,0),"0,00")</f>
        <v>0,00</v>
      </c>
      <c r="D253" s="60" t="str">
        <f>IFERROR(VLOOKUP($A253,'CARİ DÖNEM MİZAN'!$A:$E,COLUMN()+0,0),"0,00")</f>
        <v>0,00</v>
      </c>
      <c r="E253" s="60">
        <f>IF(C253&gt;D253,C253-D253,0)</f>
        <v>0</v>
      </c>
      <c r="F253" s="62">
        <f>IF(D253&gt;C253,D253-C253,0)</f>
        <v>0</v>
      </c>
    </row>
    <row r="254" spans="1:9" ht="18" customHeight="1" thickBot="1" x14ac:dyDescent="0.3">
      <c r="A254" s="42">
        <v>781</v>
      </c>
      <c r="B254" s="43" t="s">
        <v>218</v>
      </c>
      <c r="C254" s="60" t="str">
        <f>IFERROR(VLOOKUP($A254,'CARİ DÖNEM MİZAN'!$A:$E,COLUMN()+0,0),"0,00")</f>
        <v>0,00</v>
      </c>
      <c r="D254" s="60" t="str">
        <f>IFERROR(VLOOKUP($A254,'CARİ DÖNEM MİZAN'!$A:$E,COLUMN()+0,0),"0,00")</f>
        <v>0,00</v>
      </c>
      <c r="E254" s="71">
        <f>IF(C254&gt;D254,C254-D254,0)</f>
        <v>0</v>
      </c>
      <c r="F254" s="72">
        <f>IF(D254&gt;C254,D254-C254,0)</f>
        <v>0</v>
      </c>
    </row>
    <row r="255" spans="1:9" s="4" customFormat="1" ht="18" customHeight="1" thickBot="1" x14ac:dyDescent="0.3">
      <c r="A255" s="122" t="s">
        <v>215</v>
      </c>
      <c r="B255" s="122"/>
      <c r="C255" s="73">
        <f>C5+C59+C84+C131+C154+C179+C231</f>
        <v>170833856.43000001</v>
      </c>
      <c r="D255" s="73">
        <f>D5+D59+D84+D131+D154+D179+D231</f>
        <v>170833856.43000001</v>
      </c>
      <c r="E255" s="73">
        <f>E5+E59+E84+E131+E154+E179+E231</f>
        <v>9665170.629999999</v>
      </c>
      <c r="F255" s="73">
        <f>F5+F59+F84+F131+F154+F179+F231</f>
        <v>9665170.6300000008</v>
      </c>
      <c r="H255" s="10"/>
      <c r="I255" s="11"/>
    </row>
    <row r="256" spans="1:9" ht="18" customHeight="1" thickBot="1" x14ac:dyDescent="0.3">
      <c r="A256" s="44"/>
      <c r="B256" s="45"/>
      <c r="C256" s="123" t="s">
        <v>258</v>
      </c>
      <c r="D256" s="124"/>
      <c r="E256" s="51" t="s">
        <v>259</v>
      </c>
      <c r="F256" s="51" t="s">
        <v>260</v>
      </c>
    </row>
    <row r="257" spans="1:6" ht="18" customHeight="1" thickBot="1" x14ac:dyDescent="0.3">
      <c r="A257" s="44"/>
      <c r="B257" s="46" t="s">
        <v>245</v>
      </c>
      <c r="C257" s="117">
        <f>D255-C255</f>
        <v>0</v>
      </c>
      <c r="D257" s="118"/>
      <c r="E257" s="117">
        <f>F255-E255</f>
        <v>0</v>
      </c>
      <c r="F257" s="118"/>
    </row>
    <row r="258" spans="1:6" ht="18" customHeight="1" x14ac:dyDescent="0.25">
      <c r="B258" s="18"/>
      <c r="C258" s="18"/>
      <c r="D258" s="18"/>
      <c r="E258" s="18"/>
    </row>
    <row r="259" spans="1:6" ht="18" customHeight="1" x14ac:dyDescent="0.25">
      <c r="B259" s="18"/>
      <c r="C259" s="18"/>
      <c r="D259" s="18"/>
      <c r="E259" s="18"/>
    </row>
    <row r="260" spans="1:6" ht="18" customHeight="1" x14ac:dyDescent="0.25">
      <c r="B260" s="18"/>
      <c r="C260" s="18"/>
      <c r="D260" s="18"/>
      <c r="E260" s="18"/>
    </row>
    <row r="261" spans="1:6" ht="18" customHeight="1" x14ac:dyDescent="0.25">
      <c r="B261" s="18"/>
      <c r="C261" s="18"/>
      <c r="D261" s="18"/>
      <c r="E261" s="18"/>
    </row>
    <row r="262" spans="1:6" ht="18" customHeight="1" x14ac:dyDescent="0.25">
      <c r="B262" s="18"/>
      <c r="C262" s="18"/>
      <c r="D262" s="18"/>
      <c r="E262" s="18"/>
    </row>
    <row r="263" spans="1:6" ht="18" customHeight="1" x14ac:dyDescent="0.25">
      <c r="B263" s="18"/>
      <c r="C263" s="18"/>
      <c r="D263" s="18"/>
      <c r="E263" s="18"/>
    </row>
    <row r="264" spans="1:6" ht="18" customHeight="1" x14ac:dyDescent="0.25">
      <c r="B264" s="18"/>
      <c r="C264" s="18"/>
      <c r="D264" s="18"/>
      <c r="E264" s="18"/>
    </row>
    <row r="265" spans="1:6" ht="18" customHeight="1" x14ac:dyDescent="0.25">
      <c r="B265" s="18"/>
      <c r="C265" s="18"/>
      <c r="D265" s="18"/>
      <c r="E265" s="18"/>
    </row>
    <row r="266" spans="1:6" ht="18" customHeight="1" x14ac:dyDescent="0.25">
      <c r="B266" s="18"/>
      <c r="C266" s="18"/>
      <c r="D266" s="18"/>
      <c r="E266" s="18"/>
    </row>
    <row r="267" spans="1:6" ht="18" customHeight="1" x14ac:dyDescent="0.25">
      <c r="B267" s="18"/>
      <c r="C267" s="18"/>
      <c r="D267" s="18"/>
      <c r="E267" s="18"/>
    </row>
    <row r="268" spans="1:6" ht="18" customHeight="1" x14ac:dyDescent="0.25">
      <c r="B268" s="18"/>
      <c r="C268" s="18"/>
      <c r="D268" s="18"/>
      <c r="E268" s="18"/>
    </row>
    <row r="269" spans="1:6" ht="18" customHeight="1" x14ac:dyDescent="0.25">
      <c r="B269" s="18"/>
      <c r="C269" s="18"/>
      <c r="D269" s="18"/>
      <c r="E269" s="18"/>
    </row>
    <row r="270" spans="1:6" ht="18" customHeight="1" x14ac:dyDescent="0.25">
      <c r="B270" s="18"/>
      <c r="C270" s="18"/>
      <c r="D270" s="18"/>
      <c r="E270" s="18"/>
    </row>
    <row r="271" spans="1:6" ht="18" customHeight="1" x14ac:dyDescent="0.25">
      <c r="B271" s="18"/>
      <c r="C271" s="18"/>
      <c r="D271" s="18"/>
      <c r="E271" s="18"/>
    </row>
  </sheetData>
  <protectedRanges>
    <protectedRange algorithmName="SHA-512" hashValue="GkYSolOIxH6TrOp3GGim4IcNt2z7InEbihki7dbtinOBVmyT0s01lEQs/TcaQDhDYZaL7K6uYwTzSNCc7/p6iw==" saltValue="gma34PX/FmfZjELuiGc/YA==" spinCount="100000" sqref="C5:F5 C6:D12" name="Aralık1"/>
    <protectedRange algorithmName="SHA-512" hashValue="nmYqVCeqZioiPP9A74BK5vHb5OcZQltcza04YUVgIedNf/jn7wOgwBAFFT2Ij1Jd2OIxMgfvwTRDPcP/ZD3OFg==" saltValue="M8hsL2BCdQsZrzamGi4myg==" spinCount="100000" sqref="C13:F13" name="Aralık2"/>
  </protectedRanges>
  <mergeCells count="8">
    <mergeCell ref="C257:D257"/>
    <mergeCell ref="E257:F257"/>
    <mergeCell ref="A3:A4"/>
    <mergeCell ref="B3:B4"/>
    <mergeCell ref="C3:D3"/>
    <mergeCell ref="E3:F3"/>
    <mergeCell ref="A255:B255"/>
    <mergeCell ref="C256:D256"/>
  </mergeCells>
  <conditionalFormatting sqref="C257:F257">
    <cfRule type="expression" dxfId="3" priority="3">
      <formula>$C$257=0</formula>
    </cfRule>
    <cfRule type="expression" dxfId="2" priority="4">
      <formula>$C$255&lt;&gt;$D$255</formula>
    </cfRule>
  </conditionalFormatting>
  <pageMargins left="0.7" right="0.7" top="0.75" bottom="0.75" header="0.3" footer="0.3"/>
  <pageSetup paperSize="9" scale="46" fitToHeight="0" orientation="portrait" r:id="rId1"/>
  <ignoredErrors>
    <ignoredError sqref="C235:F235" formula="1"/>
    <ignoredError sqref="C236 C233:D234 C230:D230 C226:D228" unlockedFormula="1"/>
  </ignoredError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59C0A3-40C5-4607-BA44-2BDC6B3D07B9}">
  <sheetPr codeName="Sayfa5"/>
  <dimension ref="A1:F67"/>
  <sheetViews>
    <sheetView workbookViewId="0">
      <selection activeCell="C75" sqref="C75"/>
    </sheetView>
  </sheetViews>
  <sheetFormatPr defaultRowHeight="15" x14ac:dyDescent="0.25"/>
  <cols>
    <col min="1" max="1" width="11" customWidth="1"/>
    <col min="2" max="2" width="61.5703125" customWidth="1"/>
    <col min="3" max="3" width="23" customWidth="1"/>
    <col min="4" max="4" width="24" customWidth="1"/>
    <col min="5" max="5" width="22.28515625" customWidth="1"/>
    <col min="6" max="6" width="20.42578125" customWidth="1"/>
  </cols>
  <sheetData>
    <row r="1" spans="1:6" x14ac:dyDescent="0.25">
      <c r="A1" s="125" t="s">
        <v>261</v>
      </c>
      <c r="B1" s="125" t="s">
        <v>266</v>
      </c>
      <c r="C1" s="125" t="s">
        <v>266</v>
      </c>
      <c r="D1" s="125" t="s">
        <v>266</v>
      </c>
      <c r="E1" s="125" t="s">
        <v>266</v>
      </c>
      <c r="F1" s="125" t="s">
        <v>266</v>
      </c>
    </row>
    <row r="2" spans="1:6" x14ac:dyDescent="0.25">
      <c r="A2" s="125" t="s">
        <v>262</v>
      </c>
      <c r="B2" s="125" t="s">
        <v>266</v>
      </c>
      <c r="C2" s="125" t="s">
        <v>266</v>
      </c>
      <c r="D2" s="125" t="s">
        <v>266</v>
      </c>
      <c r="E2" s="125" t="s">
        <v>266</v>
      </c>
      <c r="F2" s="125" t="s">
        <v>266</v>
      </c>
    </row>
    <row r="3" spans="1:6" x14ac:dyDescent="0.25">
      <c r="A3" s="52" t="s">
        <v>263</v>
      </c>
      <c r="B3" s="126" t="s">
        <v>267</v>
      </c>
      <c r="C3" s="126" t="s">
        <v>266</v>
      </c>
      <c r="D3" s="126" t="s">
        <v>266</v>
      </c>
      <c r="E3" s="126" t="s">
        <v>266</v>
      </c>
      <c r="F3" s="126" t="s">
        <v>266</v>
      </c>
    </row>
    <row r="4" spans="1:6" x14ac:dyDescent="0.25">
      <c r="A4" s="52" t="s">
        <v>264</v>
      </c>
      <c r="B4" s="127" t="s">
        <v>272</v>
      </c>
      <c r="C4" s="126" t="s">
        <v>266</v>
      </c>
      <c r="D4" s="126" t="s">
        <v>266</v>
      </c>
      <c r="E4" s="126" t="s">
        <v>266</v>
      </c>
      <c r="F4" s="126" t="s">
        <v>266</v>
      </c>
    </row>
    <row r="5" spans="1:6" ht="15.75" thickBot="1" x14ac:dyDescent="0.3">
      <c r="A5" s="53"/>
      <c r="B5" s="53"/>
    </row>
    <row r="6" spans="1:6" ht="15.75" thickBot="1" x14ac:dyDescent="0.3">
      <c r="A6" s="53" t="s">
        <v>265</v>
      </c>
      <c r="B6" s="53" t="s">
        <v>1</v>
      </c>
      <c r="C6" s="53" t="s">
        <v>268</v>
      </c>
      <c r="D6" s="53" t="s">
        <v>269</v>
      </c>
      <c r="E6" s="53" t="s">
        <v>270</v>
      </c>
      <c r="F6" s="53" t="s">
        <v>271</v>
      </c>
    </row>
    <row r="7" spans="1:6" x14ac:dyDescent="0.25">
      <c r="A7" s="175">
        <v>1</v>
      </c>
      <c r="B7" s="176" t="s">
        <v>8</v>
      </c>
      <c r="C7" s="177">
        <v>77447962.620000005</v>
      </c>
      <c r="D7" s="177">
        <v>72062352.080000013</v>
      </c>
      <c r="E7" s="177">
        <v>5385610.5399999991</v>
      </c>
      <c r="F7" s="178">
        <v>0</v>
      </c>
    </row>
    <row r="8" spans="1:6" ht="15.75" x14ac:dyDescent="0.25">
      <c r="A8" s="179">
        <v>10</v>
      </c>
      <c r="B8" s="180" t="s">
        <v>9</v>
      </c>
      <c r="C8" s="178">
        <v>23881649.409999996</v>
      </c>
      <c r="D8" s="178">
        <v>22538598.960000001</v>
      </c>
      <c r="E8" s="181">
        <v>1343050.4499999955</v>
      </c>
      <c r="F8" s="182">
        <v>0</v>
      </c>
    </row>
    <row r="9" spans="1:6" ht="15.75" x14ac:dyDescent="0.25">
      <c r="A9" s="183">
        <v>100</v>
      </c>
      <c r="B9" s="184" t="s">
        <v>219</v>
      </c>
      <c r="C9" s="185">
        <v>1012345.15</v>
      </c>
      <c r="D9" s="185">
        <v>684924.61</v>
      </c>
      <c r="E9" s="186">
        <v>327420.54000000004</v>
      </c>
      <c r="F9" s="187">
        <v>0</v>
      </c>
    </row>
    <row r="10" spans="1:6" ht="15.75" x14ac:dyDescent="0.25">
      <c r="A10" s="188">
        <v>101</v>
      </c>
      <c r="B10" s="189" t="s">
        <v>11</v>
      </c>
      <c r="C10" s="88">
        <v>19872541.879999999</v>
      </c>
      <c r="D10" s="88">
        <v>18961126.84</v>
      </c>
      <c r="E10" s="89">
        <v>911415.03999999911</v>
      </c>
      <c r="F10" s="89">
        <v>0</v>
      </c>
    </row>
    <row r="11" spans="1:6" ht="15.75" x14ac:dyDescent="0.25">
      <c r="A11" s="188">
        <v>102</v>
      </c>
      <c r="B11" s="189" t="s">
        <v>10</v>
      </c>
      <c r="C11" s="88">
        <v>2996762.38</v>
      </c>
      <c r="D11" s="88">
        <v>2892547.51</v>
      </c>
      <c r="E11" s="89">
        <v>104214.87000000011</v>
      </c>
      <c r="F11" s="89">
        <v>0</v>
      </c>
    </row>
    <row r="12" spans="1:6" ht="15.75" x14ac:dyDescent="0.25">
      <c r="A12" s="190">
        <v>12</v>
      </c>
      <c r="B12" s="191" t="s">
        <v>14</v>
      </c>
      <c r="C12" s="192">
        <v>25480580.280000001</v>
      </c>
      <c r="D12" s="192">
        <v>25284160.129999999</v>
      </c>
      <c r="E12" s="192">
        <v>196420.15000000224</v>
      </c>
      <c r="F12" s="181">
        <v>0</v>
      </c>
    </row>
    <row r="13" spans="1:6" ht="15.75" x14ac:dyDescent="0.25">
      <c r="A13" s="188">
        <v>120</v>
      </c>
      <c r="B13" s="189" t="s">
        <v>15</v>
      </c>
      <c r="C13" s="89">
        <v>25480580.280000001</v>
      </c>
      <c r="D13" s="89">
        <v>25284160.129999999</v>
      </c>
      <c r="E13" s="89">
        <v>196420.15000000224</v>
      </c>
      <c r="F13" s="89">
        <v>0</v>
      </c>
    </row>
    <row r="14" spans="1:6" ht="15.75" x14ac:dyDescent="0.25">
      <c r="A14" s="190">
        <v>15</v>
      </c>
      <c r="B14" s="191" t="s">
        <v>33</v>
      </c>
      <c r="C14" s="192">
        <v>19379517.920000002</v>
      </c>
      <c r="D14" s="192">
        <v>15597107.67</v>
      </c>
      <c r="E14" s="192">
        <v>3782410.2500000019</v>
      </c>
      <c r="F14" s="192">
        <v>0</v>
      </c>
    </row>
    <row r="15" spans="1:6" ht="15.75" x14ac:dyDescent="0.25">
      <c r="A15" s="188">
        <v>153</v>
      </c>
      <c r="B15" s="189" t="s">
        <v>37</v>
      </c>
      <c r="C15" s="89">
        <v>19379517.920000002</v>
      </c>
      <c r="D15" s="89">
        <v>15597107.67</v>
      </c>
      <c r="E15" s="89">
        <v>3782410.2500000019</v>
      </c>
      <c r="F15" s="89">
        <v>0</v>
      </c>
    </row>
    <row r="16" spans="1:6" ht="15.75" x14ac:dyDescent="0.25">
      <c r="A16" s="190">
        <v>19</v>
      </c>
      <c r="B16" s="191" t="s">
        <v>43</v>
      </c>
      <c r="C16" s="192">
        <v>8706215.0099999998</v>
      </c>
      <c r="D16" s="192">
        <v>8642485.3200000003</v>
      </c>
      <c r="E16" s="192">
        <v>63729.689999999478</v>
      </c>
      <c r="F16" s="192">
        <v>0</v>
      </c>
    </row>
    <row r="17" spans="1:6" ht="15.75" x14ac:dyDescent="0.25">
      <c r="A17" s="188">
        <v>190</v>
      </c>
      <c r="B17" s="189" t="s">
        <v>44</v>
      </c>
      <c r="C17" s="89">
        <v>4384972.3499999996</v>
      </c>
      <c r="D17" s="89">
        <v>4321242.66</v>
      </c>
      <c r="E17" s="89">
        <v>63729.689999999478</v>
      </c>
      <c r="F17" s="89">
        <v>0</v>
      </c>
    </row>
    <row r="18" spans="1:6" ht="15.75" x14ac:dyDescent="0.25">
      <c r="A18" s="188">
        <v>191</v>
      </c>
      <c r="B18" s="189" t="s">
        <v>45</v>
      </c>
      <c r="C18" s="89">
        <v>4321242.66</v>
      </c>
      <c r="D18" s="89">
        <v>4321242.66</v>
      </c>
      <c r="E18" s="89">
        <v>0</v>
      </c>
      <c r="F18" s="89">
        <v>0</v>
      </c>
    </row>
    <row r="19" spans="1:6" ht="15.75" x14ac:dyDescent="0.25">
      <c r="A19" s="193">
        <v>2</v>
      </c>
      <c r="B19" s="194" t="s">
        <v>53</v>
      </c>
      <c r="C19" s="195">
        <v>7722398.2999999998</v>
      </c>
      <c r="D19" s="195">
        <v>3442838.21</v>
      </c>
      <c r="E19" s="195">
        <v>4279560.09</v>
      </c>
      <c r="F19" s="192">
        <v>0</v>
      </c>
    </row>
    <row r="20" spans="1:6" ht="15.75" x14ac:dyDescent="0.25">
      <c r="A20" s="190">
        <v>25</v>
      </c>
      <c r="B20" s="191" t="s">
        <v>54</v>
      </c>
      <c r="C20" s="192">
        <v>6887828.2299999995</v>
      </c>
      <c r="D20" s="192">
        <v>3244170.58</v>
      </c>
      <c r="E20" s="192">
        <v>3643657.6499999994</v>
      </c>
      <c r="F20" s="192">
        <v>0</v>
      </c>
    </row>
    <row r="21" spans="1:6" ht="15.75" x14ac:dyDescent="0.25">
      <c r="A21" s="188">
        <v>253</v>
      </c>
      <c r="B21" s="189" t="s">
        <v>58</v>
      </c>
      <c r="C21" s="89">
        <v>6775757.3099999996</v>
      </c>
      <c r="D21" s="89">
        <v>3191385.12</v>
      </c>
      <c r="E21" s="89">
        <v>3584372.1899999995</v>
      </c>
      <c r="F21" s="89">
        <v>0</v>
      </c>
    </row>
    <row r="22" spans="1:6" ht="15.75" x14ac:dyDescent="0.25">
      <c r="A22" s="188">
        <v>254</v>
      </c>
      <c r="B22" s="189" t="s">
        <v>59</v>
      </c>
      <c r="C22" s="89">
        <v>112070.92</v>
      </c>
      <c r="D22" s="89">
        <v>52785.46</v>
      </c>
      <c r="E22" s="89">
        <v>59285.46</v>
      </c>
      <c r="F22" s="89">
        <v>0</v>
      </c>
    </row>
    <row r="23" spans="1:6" ht="15.75" x14ac:dyDescent="0.25">
      <c r="A23" s="190">
        <v>28</v>
      </c>
      <c r="B23" s="191" t="s">
        <v>74</v>
      </c>
      <c r="C23" s="192">
        <v>834570.07</v>
      </c>
      <c r="D23" s="192">
        <v>198667.63</v>
      </c>
      <c r="E23" s="192">
        <v>635902.43999999994</v>
      </c>
      <c r="F23" s="192">
        <v>0</v>
      </c>
    </row>
    <row r="24" spans="1:6" ht="15.75" x14ac:dyDescent="0.25">
      <c r="A24" s="188">
        <v>280</v>
      </c>
      <c r="B24" s="189" t="s">
        <v>75</v>
      </c>
      <c r="C24" s="89">
        <v>834570.07</v>
      </c>
      <c r="D24" s="89">
        <v>198667.63</v>
      </c>
      <c r="E24" s="89">
        <v>635902.43999999994</v>
      </c>
      <c r="F24" s="89">
        <v>0</v>
      </c>
    </row>
    <row r="25" spans="1:6" ht="15.75" x14ac:dyDescent="0.25">
      <c r="A25" s="193">
        <v>3</v>
      </c>
      <c r="B25" s="194" t="s">
        <v>77</v>
      </c>
      <c r="C25" s="195">
        <v>33586598.079999998</v>
      </c>
      <c r="D25" s="195">
        <v>34837310.549999997</v>
      </c>
      <c r="E25" s="192">
        <v>0</v>
      </c>
      <c r="F25" s="195">
        <v>1250712.4700000009</v>
      </c>
    </row>
    <row r="26" spans="1:6" ht="15.75" x14ac:dyDescent="0.25">
      <c r="A26" s="190">
        <v>32</v>
      </c>
      <c r="B26" s="191" t="s">
        <v>87</v>
      </c>
      <c r="C26" s="192">
        <v>22187103.449999999</v>
      </c>
      <c r="D26" s="192">
        <v>23255421.5</v>
      </c>
      <c r="E26" s="192">
        <v>0</v>
      </c>
      <c r="F26" s="192">
        <v>1068318.0500000007</v>
      </c>
    </row>
    <row r="27" spans="1:6" ht="15.75" x14ac:dyDescent="0.25">
      <c r="A27" s="188">
        <v>320</v>
      </c>
      <c r="B27" s="189" t="s">
        <v>88</v>
      </c>
      <c r="C27" s="89">
        <v>22187103.449999999</v>
      </c>
      <c r="D27" s="89">
        <v>23255421.5</v>
      </c>
      <c r="E27" s="89">
        <v>0</v>
      </c>
      <c r="F27" s="89">
        <v>1068318.0500000007</v>
      </c>
    </row>
    <row r="28" spans="1:6" ht="15.75" x14ac:dyDescent="0.25">
      <c r="A28" s="190">
        <v>33</v>
      </c>
      <c r="B28" s="191" t="s">
        <v>94</v>
      </c>
      <c r="C28" s="192">
        <v>7135531.8999999994</v>
      </c>
      <c r="D28" s="192">
        <v>7135531.8999999994</v>
      </c>
      <c r="E28" s="192">
        <v>0</v>
      </c>
      <c r="F28" s="192">
        <v>0</v>
      </c>
    </row>
    <row r="29" spans="1:6" ht="15.75" x14ac:dyDescent="0.25">
      <c r="A29" s="188">
        <v>331</v>
      </c>
      <c r="B29" s="189" t="s">
        <v>96</v>
      </c>
      <c r="C29" s="89">
        <v>7063206.7699999996</v>
      </c>
      <c r="D29" s="89">
        <v>7063206.7699999996</v>
      </c>
      <c r="E29" s="89">
        <v>0</v>
      </c>
      <c r="F29" s="89">
        <v>0</v>
      </c>
    </row>
    <row r="30" spans="1:6" ht="15.75" x14ac:dyDescent="0.25">
      <c r="A30" s="188">
        <v>335</v>
      </c>
      <c r="B30" s="189" t="s">
        <v>99</v>
      </c>
      <c r="C30" s="89">
        <v>72325.13</v>
      </c>
      <c r="D30" s="89">
        <v>72325.13</v>
      </c>
      <c r="E30" s="89">
        <v>0</v>
      </c>
      <c r="F30" s="89">
        <v>0</v>
      </c>
    </row>
    <row r="31" spans="1:6" ht="15.75" x14ac:dyDescent="0.25">
      <c r="A31" s="190">
        <v>36</v>
      </c>
      <c r="B31" s="191" t="s">
        <v>105</v>
      </c>
      <c r="C31" s="192">
        <v>1059.3399999999999</v>
      </c>
      <c r="D31" s="192">
        <v>85510.19</v>
      </c>
      <c r="E31" s="192">
        <v>0</v>
      </c>
      <c r="F31" s="192">
        <v>84450.85</v>
      </c>
    </row>
    <row r="32" spans="1:6" ht="15.75" x14ac:dyDescent="0.25">
      <c r="A32" s="188">
        <v>360</v>
      </c>
      <c r="B32" s="189" t="s">
        <v>106</v>
      </c>
      <c r="C32" s="89">
        <v>0</v>
      </c>
      <c r="D32" s="89">
        <v>37166.229999999996</v>
      </c>
      <c r="E32" s="89">
        <v>0</v>
      </c>
      <c r="F32" s="89">
        <v>37166.229999999996</v>
      </c>
    </row>
    <row r="33" spans="1:6" ht="15.75" x14ac:dyDescent="0.25">
      <c r="A33" s="188">
        <v>361</v>
      </c>
      <c r="B33" s="189" t="s">
        <v>107</v>
      </c>
      <c r="C33" s="89">
        <v>1059.3399999999999</v>
      </c>
      <c r="D33" s="89">
        <v>48343.96</v>
      </c>
      <c r="E33" s="89">
        <v>0</v>
      </c>
      <c r="F33" s="89">
        <v>47284.62</v>
      </c>
    </row>
    <row r="34" spans="1:6" ht="15.75" x14ac:dyDescent="0.25">
      <c r="A34" s="190">
        <v>37</v>
      </c>
      <c r="B34" s="191" t="s">
        <v>110</v>
      </c>
      <c r="C34" s="192">
        <v>5390.42</v>
      </c>
      <c r="D34" s="192">
        <v>103333.99</v>
      </c>
      <c r="E34" s="196">
        <v>0</v>
      </c>
      <c r="F34" s="192">
        <v>97943.57</v>
      </c>
    </row>
    <row r="35" spans="1:6" ht="15.75" x14ac:dyDescent="0.25">
      <c r="A35" s="188">
        <v>370</v>
      </c>
      <c r="B35" s="189" t="s">
        <v>111</v>
      </c>
      <c r="C35" s="89">
        <v>2541.81</v>
      </c>
      <c r="D35" s="89">
        <v>100485.38</v>
      </c>
      <c r="E35" s="89">
        <v>0</v>
      </c>
      <c r="F35" s="89">
        <v>97943.57</v>
      </c>
    </row>
    <row r="36" spans="1:6" ht="15.75" x14ac:dyDescent="0.25">
      <c r="A36" s="188">
        <v>371</v>
      </c>
      <c r="B36" s="189" t="s">
        <v>112</v>
      </c>
      <c r="C36" s="89">
        <v>2848.61</v>
      </c>
      <c r="D36" s="89">
        <v>2848.61</v>
      </c>
      <c r="E36" s="89">
        <v>0</v>
      </c>
      <c r="F36" s="89">
        <v>0</v>
      </c>
    </row>
    <row r="37" spans="1:6" ht="15.75" x14ac:dyDescent="0.25">
      <c r="A37" s="190">
        <v>39</v>
      </c>
      <c r="B37" s="191" t="s">
        <v>116</v>
      </c>
      <c r="C37" s="192">
        <v>4257512.97</v>
      </c>
      <c r="D37" s="192">
        <v>4257512.97</v>
      </c>
      <c r="E37" s="192">
        <v>0</v>
      </c>
      <c r="F37" s="192">
        <v>0</v>
      </c>
    </row>
    <row r="38" spans="1:6" ht="15.75" x14ac:dyDescent="0.25">
      <c r="A38" s="188">
        <v>391</v>
      </c>
      <c r="B38" s="189" t="s">
        <v>117</v>
      </c>
      <c r="C38" s="89">
        <v>4257512.97</v>
      </c>
      <c r="D38" s="89">
        <v>4257512.97</v>
      </c>
      <c r="E38" s="89">
        <v>0</v>
      </c>
      <c r="F38" s="89">
        <v>0</v>
      </c>
    </row>
    <row r="39" spans="1:6" ht="15.75" x14ac:dyDescent="0.25">
      <c r="A39" s="193">
        <v>5</v>
      </c>
      <c r="B39" s="194" t="s">
        <v>127</v>
      </c>
      <c r="C39" s="195">
        <v>435484.13</v>
      </c>
      <c r="D39" s="195">
        <v>8849942.2899999991</v>
      </c>
      <c r="E39" s="196">
        <v>0</v>
      </c>
      <c r="F39" s="195">
        <v>8414458.1600000001</v>
      </c>
    </row>
    <row r="40" spans="1:6" ht="15.75" x14ac:dyDescent="0.25">
      <c r="A40" s="190">
        <v>50</v>
      </c>
      <c r="B40" s="191" t="s">
        <v>128</v>
      </c>
      <c r="C40" s="192">
        <v>0</v>
      </c>
      <c r="D40" s="192">
        <v>987105</v>
      </c>
      <c r="E40" s="192">
        <v>0</v>
      </c>
      <c r="F40" s="192">
        <v>987105</v>
      </c>
    </row>
    <row r="41" spans="1:6" ht="15.75" x14ac:dyDescent="0.25">
      <c r="A41" s="188">
        <v>500</v>
      </c>
      <c r="B41" s="189" t="s">
        <v>129</v>
      </c>
      <c r="C41" s="89">
        <v>0</v>
      </c>
      <c r="D41" s="89">
        <v>100000</v>
      </c>
      <c r="E41" s="89">
        <v>0</v>
      </c>
      <c r="F41" s="89">
        <v>100000</v>
      </c>
    </row>
    <row r="42" spans="1:6" ht="15.75" x14ac:dyDescent="0.25">
      <c r="A42" s="188">
        <v>502</v>
      </c>
      <c r="B42" s="189" t="s">
        <v>253</v>
      </c>
      <c r="C42" s="89">
        <v>0</v>
      </c>
      <c r="D42" s="89">
        <v>887105</v>
      </c>
      <c r="E42" s="89">
        <v>0</v>
      </c>
      <c r="F42" s="89">
        <v>887105</v>
      </c>
    </row>
    <row r="43" spans="1:6" ht="15.75" x14ac:dyDescent="0.25">
      <c r="A43" s="190">
        <v>52</v>
      </c>
      <c r="B43" s="191" t="s">
        <v>131</v>
      </c>
      <c r="C43" s="192">
        <v>0</v>
      </c>
      <c r="D43" s="192">
        <v>6650000</v>
      </c>
      <c r="E43" s="192">
        <v>0</v>
      </c>
      <c r="F43" s="192">
        <v>6650000</v>
      </c>
    </row>
    <row r="44" spans="1:6" ht="15.75" x14ac:dyDescent="0.25">
      <c r="A44" s="188">
        <v>529</v>
      </c>
      <c r="B44" s="189" t="s">
        <v>137</v>
      </c>
      <c r="C44" s="89">
        <v>0</v>
      </c>
      <c r="D44" s="89">
        <v>6650000</v>
      </c>
      <c r="E44" s="89">
        <v>0</v>
      </c>
      <c r="F44" s="89">
        <v>6650000</v>
      </c>
    </row>
    <row r="45" spans="1:6" ht="15.75" x14ac:dyDescent="0.25">
      <c r="A45" s="190">
        <v>57</v>
      </c>
      <c r="B45" s="191" t="s">
        <v>144</v>
      </c>
      <c r="C45" s="192">
        <v>43709.86</v>
      </c>
      <c r="D45" s="192">
        <v>821063.02</v>
      </c>
      <c r="E45" s="192">
        <v>0</v>
      </c>
      <c r="F45" s="192">
        <v>777353.16</v>
      </c>
    </row>
    <row r="46" spans="1:6" ht="15.75" x14ac:dyDescent="0.25">
      <c r="A46" s="197">
        <v>570</v>
      </c>
      <c r="B46" s="198" t="s">
        <v>145</v>
      </c>
      <c r="C46" s="89">
        <v>43709.86</v>
      </c>
      <c r="D46" s="89">
        <v>821063.02</v>
      </c>
      <c r="E46" s="89">
        <v>0</v>
      </c>
      <c r="F46" s="89">
        <v>777353.16</v>
      </c>
    </row>
    <row r="47" spans="1:6" ht="15.75" x14ac:dyDescent="0.25">
      <c r="A47" s="190">
        <v>59</v>
      </c>
      <c r="B47" s="191" t="s">
        <v>148</v>
      </c>
      <c r="C47" s="192">
        <v>391774.27</v>
      </c>
      <c r="D47" s="192">
        <v>391774.27</v>
      </c>
      <c r="E47" s="192">
        <v>0</v>
      </c>
      <c r="F47" s="192">
        <v>0</v>
      </c>
    </row>
    <row r="48" spans="1:6" ht="15.75" x14ac:dyDescent="0.25">
      <c r="A48" s="197">
        <v>590</v>
      </c>
      <c r="B48" s="198" t="s">
        <v>149</v>
      </c>
      <c r="C48" s="89">
        <v>391774.27</v>
      </c>
      <c r="D48" s="89">
        <v>391774.27</v>
      </c>
      <c r="E48" s="89">
        <v>0</v>
      </c>
      <c r="F48" s="89">
        <v>0</v>
      </c>
    </row>
    <row r="49" spans="1:6" ht="15.75" x14ac:dyDescent="0.25">
      <c r="A49" s="193">
        <v>6</v>
      </c>
      <c r="B49" s="194" t="s">
        <v>151</v>
      </c>
      <c r="C49" s="195">
        <v>49328867.940000005</v>
      </c>
      <c r="D49" s="195">
        <v>49328867.940000005</v>
      </c>
      <c r="E49" s="195">
        <v>0</v>
      </c>
      <c r="F49" s="195">
        <v>0</v>
      </c>
    </row>
    <row r="50" spans="1:6" ht="15.75" x14ac:dyDescent="0.25">
      <c r="A50" s="190">
        <v>60</v>
      </c>
      <c r="B50" s="191" t="s">
        <v>152</v>
      </c>
      <c r="C50" s="192">
        <v>21456167.210000001</v>
      </c>
      <c r="D50" s="192">
        <v>21456167.210000001</v>
      </c>
      <c r="E50" s="192">
        <v>0</v>
      </c>
      <c r="F50" s="192">
        <v>0</v>
      </c>
    </row>
    <row r="51" spans="1:6" ht="15.75" x14ac:dyDescent="0.25">
      <c r="A51" s="199">
        <v>600</v>
      </c>
      <c r="B51" s="200" t="s">
        <v>153</v>
      </c>
      <c r="C51" s="201">
        <v>21455107.870000001</v>
      </c>
      <c r="D51" s="201">
        <v>21455107.870000001</v>
      </c>
      <c r="E51" s="201">
        <v>0</v>
      </c>
      <c r="F51" s="201">
        <v>0</v>
      </c>
    </row>
    <row r="52" spans="1:6" ht="15.75" x14ac:dyDescent="0.25">
      <c r="A52" s="199">
        <v>602</v>
      </c>
      <c r="B52" s="200" t="s">
        <v>155</v>
      </c>
      <c r="C52" s="201">
        <v>1059.3399999999999</v>
      </c>
      <c r="D52" s="201">
        <v>1059.3399999999999</v>
      </c>
      <c r="E52" s="201">
        <v>0</v>
      </c>
      <c r="F52" s="201">
        <v>0</v>
      </c>
    </row>
    <row r="53" spans="1:6" ht="15.75" x14ac:dyDescent="0.25">
      <c r="A53" s="190">
        <v>62</v>
      </c>
      <c r="B53" s="191" t="s">
        <v>160</v>
      </c>
      <c r="C53" s="192">
        <v>20535790.600000001</v>
      </c>
      <c r="D53" s="192">
        <v>20535790.600000001</v>
      </c>
      <c r="E53" s="192">
        <v>0</v>
      </c>
      <c r="F53" s="192">
        <v>0</v>
      </c>
    </row>
    <row r="54" spans="1:6" ht="15.75" x14ac:dyDescent="0.25">
      <c r="A54" s="199">
        <v>621</v>
      </c>
      <c r="B54" s="200" t="s">
        <v>162</v>
      </c>
      <c r="C54" s="201">
        <v>19379517.920000002</v>
      </c>
      <c r="D54" s="201">
        <v>19379517.920000002</v>
      </c>
      <c r="E54" s="201">
        <v>0</v>
      </c>
      <c r="F54" s="201">
        <v>0</v>
      </c>
    </row>
    <row r="55" spans="1:6" ht="15.75" x14ac:dyDescent="0.25">
      <c r="A55" s="199">
        <v>622</v>
      </c>
      <c r="B55" s="200" t="s">
        <v>163</v>
      </c>
      <c r="C55" s="201">
        <v>1156272.68</v>
      </c>
      <c r="D55" s="201">
        <v>1156272.68</v>
      </c>
      <c r="E55" s="201">
        <v>0</v>
      </c>
      <c r="F55" s="201">
        <v>0</v>
      </c>
    </row>
    <row r="56" spans="1:6" ht="15.75" x14ac:dyDescent="0.25">
      <c r="A56" s="190">
        <v>69</v>
      </c>
      <c r="B56" s="191" t="s">
        <v>148</v>
      </c>
      <c r="C56" s="192">
        <v>7336910.1299999999</v>
      </c>
      <c r="D56" s="192">
        <v>7336910.1299999999</v>
      </c>
      <c r="E56" s="192">
        <v>0</v>
      </c>
      <c r="F56" s="192">
        <v>0</v>
      </c>
    </row>
    <row r="57" spans="1:6" ht="15.75" x14ac:dyDescent="0.25">
      <c r="A57" s="199">
        <v>690</v>
      </c>
      <c r="B57" s="200" t="s">
        <v>196</v>
      </c>
      <c r="C57" s="89">
        <v>391774.27</v>
      </c>
      <c r="D57" s="89">
        <v>391774.27</v>
      </c>
      <c r="E57" s="89">
        <v>0</v>
      </c>
      <c r="F57" s="89">
        <v>0</v>
      </c>
    </row>
    <row r="58" spans="1:6" ht="15.75" x14ac:dyDescent="0.25">
      <c r="A58" s="199">
        <v>691</v>
      </c>
      <c r="B58" s="200" t="s">
        <v>197</v>
      </c>
      <c r="C58" s="89">
        <v>97943.57</v>
      </c>
      <c r="D58" s="89">
        <v>97943.57</v>
      </c>
      <c r="E58" s="89">
        <v>0</v>
      </c>
      <c r="F58" s="89">
        <v>0</v>
      </c>
    </row>
    <row r="59" spans="1:6" ht="15.75" x14ac:dyDescent="0.25">
      <c r="A59" s="199">
        <v>692</v>
      </c>
      <c r="B59" s="200" t="s">
        <v>198</v>
      </c>
      <c r="C59" s="89">
        <v>293830.7</v>
      </c>
      <c r="D59" s="89">
        <v>293830.7</v>
      </c>
      <c r="E59" s="89">
        <v>0</v>
      </c>
      <c r="F59" s="89">
        <v>0</v>
      </c>
    </row>
    <row r="60" spans="1:6" ht="15.75" x14ac:dyDescent="0.25">
      <c r="A60" s="199">
        <v>698</v>
      </c>
      <c r="B60" s="200" t="s">
        <v>220</v>
      </c>
      <c r="C60" s="89">
        <v>6553361.5899999999</v>
      </c>
      <c r="D60" s="89">
        <v>6553361.5899999999</v>
      </c>
      <c r="E60" s="89">
        <v>0</v>
      </c>
      <c r="F60" s="89">
        <v>0</v>
      </c>
    </row>
    <row r="61" spans="1:6" ht="15.75" x14ac:dyDescent="0.25">
      <c r="A61" s="193">
        <v>7</v>
      </c>
      <c r="B61" s="194" t="s">
        <v>199</v>
      </c>
      <c r="C61" s="195">
        <v>2312545.36</v>
      </c>
      <c r="D61" s="195">
        <v>2312545.36</v>
      </c>
      <c r="E61" s="195">
        <v>0</v>
      </c>
      <c r="F61" s="195">
        <v>0</v>
      </c>
    </row>
    <row r="62" spans="1:6" ht="15.75" x14ac:dyDescent="0.25">
      <c r="A62" s="190">
        <v>74</v>
      </c>
      <c r="B62" s="191" t="s">
        <v>209</v>
      </c>
      <c r="C62" s="192">
        <v>2297501.61</v>
      </c>
      <c r="D62" s="192">
        <v>2297501.61</v>
      </c>
      <c r="E62" s="192">
        <v>0</v>
      </c>
      <c r="F62" s="192">
        <v>0</v>
      </c>
    </row>
    <row r="63" spans="1:6" ht="15.75" x14ac:dyDescent="0.25">
      <c r="A63" s="199">
        <v>740</v>
      </c>
      <c r="B63" s="200" t="s">
        <v>210</v>
      </c>
      <c r="C63" s="89">
        <v>1141228.93</v>
      </c>
      <c r="D63" s="89">
        <v>1141228.93</v>
      </c>
      <c r="E63" s="89">
        <v>0</v>
      </c>
      <c r="F63" s="89">
        <v>0</v>
      </c>
    </row>
    <row r="64" spans="1:6" ht="15.75" x14ac:dyDescent="0.25">
      <c r="A64" s="199">
        <v>741</v>
      </c>
      <c r="B64" s="200" t="s">
        <v>216</v>
      </c>
      <c r="C64" s="89">
        <v>1156272.68</v>
      </c>
      <c r="D64" s="89">
        <v>1156272.68</v>
      </c>
      <c r="E64" s="89">
        <v>0</v>
      </c>
      <c r="F64" s="89">
        <v>0</v>
      </c>
    </row>
    <row r="65" spans="1:6" ht="15.75" x14ac:dyDescent="0.25">
      <c r="A65" s="190">
        <v>77</v>
      </c>
      <c r="B65" s="191" t="s">
        <v>206</v>
      </c>
      <c r="C65" s="192">
        <v>15043.75</v>
      </c>
      <c r="D65" s="192">
        <v>15043.75</v>
      </c>
      <c r="E65" s="192">
        <v>0</v>
      </c>
      <c r="F65" s="192">
        <v>0</v>
      </c>
    </row>
    <row r="66" spans="1:6" ht="15.75" x14ac:dyDescent="0.25">
      <c r="A66" s="199">
        <v>770</v>
      </c>
      <c r="B66" s="200" t="s">
        <v>168</v>
      </c>
      <c r="C66" s="89">
        <v>15043.75</v>
      </c>
      <c r="D66" s="89">
        <v>15043.75</v>
      </c>
      <c r="E66" s="89">
        <v>0</v>
      </c>
      <c r="F66" s="89">
        <v>0</v>
      </c>
    </row>
    <row r="67" spans="1:6" ht="15.75" x14ac:dyDescent="0.25">
      <c r="A67" s="202" t="s">
        <v>215</v>
      </c>
      <c r="B67" s="202"/>
      <c r="C67" s="181">
        <v>170833856.43000001</v>
      </c>
      <c r="D67" s="181">
        <v>170833856.43000001</v>
      </c>
      <c r="E67" s="181">
        <v>9665170.629999999</v>
      </c>
      <c r="F67" s="181">
        <v>9665170.6300000008</v>
      </c>
    </row>
  </sheetData>
  <mergeCells count="5">
    <mergeCell ref="A67:B67"/>
    <mergeCell ref="A1:F1"/>
    <mergeCell ref="A2:F2"/>
    <mergeCell ref="B3:F3"/>
    <mergeCell ref="B4:F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926F1A-6E04-48A2-A7E5-E9AAF5A438CC}">
  <sheetPr codeName="Sayfa9"/>
  <dimension ref="A1:V122"/>
  <sheetViews>
    <sheetView topLeftCell="A28" zoomScaleNormal="100" zoomScaleSheetLayoutView="39" workbookViewId="0">
      <selection activeCell="D38" sqref="D38"/>
    </sheetView>
  </sheetViews>
  <sheetFormatPr defaultRowHeight="15" x14ac:dyDescent="0.25"/>
  <cols>
    <col min="1" max="1" width="46.7109375" customWidth="1"/>
    <col min="2" max="2" width="24.85546875" customWidth="1"/>
    <col min="3" max="3" width="10.85546875" customWidth="1"/>
    <col min="4" max="4" width="32.42578125" customWidth="1"/>
    <col min="5" max="5" width="13.7109375" customWidth="1"/>
    <col min="7" max="7" width="17" customWidth="1"/>
    <col min="8" max="8" width="54" customWidth="1"/>
    <col min="9" max="9" width="39.140625" customWidth="1"/>
    <col min="10" max="10" width="5.42578125" customWidth="1"/>
    <col min="11" max="11" width="2.7109375" customWidth="1"/>
    <col min="12" max="12" width="2.140625" customWidth="1"/>
    <col min="13" max="13" width="9.140625" customWidth="1"/>
    <col min="14" max="14" width="8.85546875" customWidth="1"/>
    <col min="15" max="15" width="6.85546875" customWidth="1"/>
    <col min="16" max="16" width="9.140625" hidden="1" customWidth="1"/>
    <col min="18" max="18" width="54.140625" customWidth="1"/>
    <col min="22" max="22" width="4.140625" customWidth="1"/>
    <col min="23" max="23" width="6.7109375" customWidth="1"/>
  </cols>
  <sheetData>
    <row r="1" spans="1:22" ht="15.75" thickBot="1" x14ac:dyDescent="0.3">
      <c r="H1" s="157"/>
      <c r="I1" s="158"/>
    </row>
    <row r="2" spans="1:22" ht="15.75" thickBot="1" x14ac:dyDescent="0.3">
      <c r="A2" s="159" t="s">
        <v>283</v>
      </c>
      <c r="B2" s="160"/>
      <c r="C2" s="160"/>
      <c r="D2" s="160"/>
      <c r="E2" s="161"/>
      <c r="H2" s="162" t="s">
        <v>304</v>
      </c>
      <c r="I2" s="163"/>
      <c r="R2" s="154" t="s">
        <v>303</v>
      </c>
      <c r="S2" s="155"/>
      <c r="T2" s="155"/>
      <c r="U2" s="155"/>
      <c r="V2" s="156"/>
    </row>
    <row r="3" spans="1:22" ht="15.75" thickBot="1" x14ac:dyDescent="0.3">
      <c r="A3" s="204" t="s">
        <v>8</v>
      </c>
      <c r="B3" s="217">
        <f>B37</f>
        <v>5385610.5399999991</v>
      </c>
      <c r="C3" s="208"/>
      <c r="D3" s="209"/>
      <c r="E3" s="210"/>
      <c r="H3" s="134" t="s">
        <v>222</v>
      </c>
      <c r="I3" s="135"/>
      <c r="R3" s="136" t="s">
        <v>222</v>
      </c>
      <c r="S3" s="144"/>
      <c r="T3" s="144"/>
      <c r="U3" s="144"/>
      <c r="V3" s="137"/>
    </row>
    <row r="4" spans="1:22" x14ac:dyDescent="0.25">
      <c r="A4" s="203" t="s">
        <v>395</v>
      </c>
      <c r="B4" s="218">
        <f>B43-B65-B67</f>
        <v>4134898.0700000003</v>
      </c>
      <c r="C4" s="211"/>
      <c r="D4" s="212"/>
      <c r="E4" s="213"/>
      <c r="H4" s="106" t="s">
        <v>223</v>
      </c>
      <c r="I4" s="115">
        <f>B37</f>
        <v>5385610.5399999991</v>
      </c>
      <c r="R4" s="100" t="s">
        <v>232</v>
      </c>
      <c r="S4" s="150">
        <f>I13+B51</f>
        <v>920376.6099999994</v>
      </c>
      <c r="T4" s="148"/>
      <c r="U4" s="148"/>
      <c r="V4" s="149"/>
    </row>
    <row r="5" spans="1:22" x14ac:dyDescent="0.25">
      <c r="A5" s="203" t="s">
        <v>396</v>
      </c>
      <c r="B5" s="218">
        <f>B43</f>
        <v>9334834.7699999996</v>
      </c>
      <c r="C5" s="214"/>
      <c r="D5" s="215"/>
      <c r="E5" s="216"/>
      <c r="H5" s="109" t="s">
        <v>340</v>
      </c>
      <c r="I5" s="2">
        <f>'MİZAN ANALİZ'!F85</f>
        <v>0</v>
      </c>
      <c r="R5" s="1" t="s">
        <v>233</v>
      </c>
      <c r="S5" s="151">
        <f>B42+B43</f>
        <v>10585547.24</v>
      </c>
      <c r="T5" s="140"/>
      <c r="U5" s="140"/>
      <c r="V5" s="141"/>
    </row>
    <row r="6" spans="1:22" x14ac:dyDescent="0.25">
      <c r="A6" s="206" t="s">
        <v>298</v>
      </c>
      <c r="B6" s="205" t="s">
        <v>273</v>
      </c>
      <c r="C6" s="206" t="s">
        <v>284</v>
      </c>
      <c r="D6" s="207" t="s">
        <v>297</v>
      </c>
      <c r="E6" s="206" t="s">
        <v>274</v>
      </c>
      <c r="H6" s="109" t="s">
        <v>341</v>
      </c>
      <c r="I6" s="2">
        <f>B40</f>
        <v>1250712.4700000009</v>
      </c>
      <c r="R6" s="1" t="s">
        <v>224</v>
      </c>
      <c r="S6" s="152">
        <f>I11</f>
        <v>21456167.210000001</v>
      </c>
      <c r="T6" s="140"/>
      <c r="U6" s="140"/>
      <c r="V6" s="141"/>
    </row>
    <row r="7" spans="1:22" x14ac:dyDescent="0.25">
      <c r="A7" s="131" t="s">
        <v>275</v>
      </c>
      <c r="B7" s="132"/>
      <c r="C7" s="132"/>
      <c r="D7" s="132"/>
      <c r="E7" s="133"/>
      <c r="H7" s="109" t="s">
        <v>342</v>
      </c>
      <c r="I7" s="2">
        <f>'MİZAN ANALİZ'!F131</f>
        <v>0</v>
      </c>
      <c r="R7" s="1" t="s">
        <v>234</v>
      </c>
      <c r="S7" s="151">
        <f>B43</f>
        <v>9334834.7699999996</v>
      </c>
      <c r="T7" s="140"/>
      <c r="U7" s="140"/>
      <c r="V7" s="141"/>
    </row>
    <row r="8" spans="1:22" x14ac:dyDescent="0.25">
      <c r="A8" s="93" t="s">
        <v>321</v>
      </c>
      <c r="B8" s="76">
        <v>4.306034095910146</v>
      </c>
      <c r="C8" s="77">
        <v>1.5</v>
      </c>
      <c r="D8" s="96" t="s">
        <v>294</v>
      </c>
      <c r="E8" s="79"/>
      <c r="H8" s="109" t="s">
        <v>235</v>
      </c>
      <c r="I8" s="2">
        <f>I5+I6+I7</f>
        <v>1250712.4700000009</v>
      </c>
      <c r="R8" s="1" t="s">
        <v>235</v>
      </c>
      <c r="S8" s="151">
        <f>B42</f>
        <v>1250712.4700000009</v>
      </c>
      <c r="T8" s="140"/>
      <c r="U8" s="140"/>
      <c r="V8" s="141"/>
    </row>
    <row r="9" spans="1:22" x14ac:dyDescent="0.25">
      <c r="A9" s="93" t="s">
        <v>322</v>
      </c>
      <c r="B9" s="76">
        <v>1.2818296198805759</v>
      </c>
      <c r="C9" s="78">
        <v>1</v>
      </c>
      <c r="D9" s="98" t="s">
        <v>345</v>
      </c>
      <c r="E9" s="79"/>
      <c r="H9" s="109" t="s">
        <v>234</v>
      </c>
      <c r="I9" s="2">
        <f>B43</f>
        <v>9334834.7699999996</v>
      </c>
      <c r="R9" s="1" t="s">
        <v>236</v>
      </c>
      <c r="S9" s="151">
        <f>B58</f>
        <v>777353.16</v>
      </c>
      <c r="T9" s="140"/>
      <c r="U9" s="140"/>
      <c r="V9" s="141"/>
    </row>
    <row r="10" spans="1:22" ht="15.75" thickBot="1" x14ac:dyDescent="0.3">
      <c r="A10" s="93" t="s">
        <v>323</v>
      </c>
      <c r="B10" s="111">
        <v>1.0738283036388008</v>
      </c>
      <c r="C10" s="77">
        <v>0.5</v>
      </c>
      <c r="D10" s="96" t="s">
        <v>346</v>
      </c>
      <c r="E10" s="79"/>
      <c r="H10" s="109" t="s">
        <v>343</v>
      </c>
      <c r="I10" s="2">
        <f>I8+I9</f>
        <v>10585547.24</v>
      </c>
      <c r="R10" s="104" t="s">
        <v>237</v>
      </c>
      <c r="S10" s="153">
        <f>S7-B65-B67</f>
        <v>4134898.0700000003</v>
      </c>
      <c r="T10" s="142"/>
      <c r="U10" s="142"/>
      <c r="V10" s="143"/>
    </row>
    <row r="11" spans="1:22" ht="15.75" thickBot="1" x14ac:dyDescent="0.3">
      <c r="A11" s="93" t="s">
        <v>324</v>
      </c>
      <c r="B11" s="76">
        <v>-2.4412470857701006E-2</v>
      </c>
      <c r="C11" s="77">
        <v>1.2</v>
      </c>
      <c r="D11" s="96" t="s">
        <v>350</v>
      </c>
      <c r="E11" s="79"/>
      <c r="H11" s="1" t="s">
        <v>224</v>
      </c>
      <c r="I11" s="2">
        <f>B64</f>
        <v>21456167.210000001</v>
      </c>
      <c r="R11" s="136" t="s">
        <v>227</v>
      </c>
      <c r="S11" s="144"/>
      <c r="T11" s="144"/>
      <c r="U11" s="144"/>
      <c r="V11" s="137"/>
    </row>
    <row r="12" spans="1:22" x14ac:dyDescent="0.25">
      <c r="A12" s="75" t="s">
        <v>276</v>
      </c>
      <c r="B12" s="76">
        <v>1.2818296198805759</v>
      </c>
      <c r="C12" s="78">
        <v>1.1000000000000001</v>
      </c>
      <c r="D12" s="98" t="s">
        <v>351</v>
      </c>
      <c r="E12" s="79"/>
      <c r="H12" s="1" t="s">
        <v>225</v>
      </c>
      <c r="I12" s="2">
        <f>'MİZAN ANALİZ'!D180-'MİZAN ANALİZ'!D188</f>
        <v>920376.6099999994</v>
      </c>
      <c r="R12" s="100" t="s">
        <v>238</v>
      </c>
      <c r="S12" s="148">
        <v>0.39061731776844821</v>
      </c>
      <c r="T12" s="148"/>
      <c r="U12" s="148"/>
      <c r="V12" s="149"/>
    </row>
    <row r="13" spans="1:22" ht="15.75" thickBot="1" x14ac:dyDescent="0.3">
      <c r="A13" s="131" t="s">
        <v>277</v>
      </c>
      <c r="B13" s="132"/>
      <c r="C13" s="132"/>
      <c r="D13" s="132"/>
      <c r="E13" s="133"/>
      <c r="H13" s="104" t="s">
        <v>226</v>
      </c>
      <c r="I13" s="107">
        <f>I12-'MİZAN ANALİZ'!D251-'MİZAN ANALİZ'!D254</f>
        <v>920376.6099999994</v>
      </c>
      <c r="R13" s="1" t="s">
        <v>239</v>
      </c>
      <c r="S13" s="140">
        <v>7.343533049123685E-2</v>
      </c>
      <c r="T13" s="140"/>
      <c r="U13" s="140"/>
      <c r="V13" s="141"/>
    </row>
    <row r="14" spans="1:22" ht="15.75" thickBot="1" x14ac:dyDescent="0.3">
      <c r="A14" s="93" t="s">
        <v>325</v>
      </c>
      <c r="B14" s="76">
        <v>0.12940407550777</v>
      </c>
      <c r="C14" s="77">
        <v>0.5</v>
      </c>
      <c r="D14" s="96" t="s">
        <v>347</v>
      </c>
      <c r="E14" s="75"/>
      <c r="H14" s="136" t="s">
        <v>227</v>
      </c>
      <c r="I14" s="137"/>
      <c r="R14" s="1" t="s">
        <v>240</v>
      </c>
      <c r="S14" s="140">
        <v>8.6946530881477593E-2</v>
      </c>
      <c r="T14" s="140"/>
      <c r="U14" s="140"/>
      <c r="V14" s="141"/>
    </row>
    <row r="15" spans="1:22" x14ac:dyDescent="0.25">
      <c r="A15" s="93" t="s">
        <v>326</v>
      </c>
      <c r="B15" s="76">
        <v>0.9658220353632806</v>
      </c>
      <c r="C15" s="77">
        <v>0.5</v>
      </c>
      <c r="D15" s="96" t="s">
        <v>348</v>
      </c>
      <c r="E15" s="75"/>
      <c r="H15" s="106" t="s">
        <v>228</v>
      </c>
      <c r="I15" s="92">
        <v>0.88184715993955543</v>
      </c>
      <c r="R15" s="1" t="s">
        <v>229</v>
      </c>
      <c r="S15" s="140">
        <v>7.4636137352976046</v>
      </c>
      <c r="T15" s="140"/>
      <c r="U15" s="140"/>
      <c r="V15" s="141"/>
    </row>
    <row r="16" spans="1:22" ht="15.75" thickBot="1" x14ac:dyDescent="0.3">
      <c r="A16" s="93" t="s">
        <v>327</v>
      </c>
      <c r="B16" s="76">
        <v>7.4636137352976046</v>
      </c>
      <c r="C16" s="78">
        <v>1</v>
      </c>
      <c r="D16" s="98" t="s">
        <v>349</v>
      </c>
      <c r="E16" s="75"/>
      <c r="H16" s="1" t="s">
        <v>300</v>
      </c>
      <c r="I16" s="3">
        <v>8.6946530881477593E-2</v>
      </c>
      <c r="R16" s="104" t="s">
        <v>241</v>
      </c>
      <c r="S16" s="168">
        <v>2.0269303724726471</v>
      </c>
      <c r="T16" s="168"/>
      <c r="U16" s="168"/>
      <c r="V16" s="169"/>
    </row>
    <row r="17" spans="1:22" ht="15.75" thickBot="1" x14ac:dyDescent="0.3">
      <c r="A17" s="93" t="s">
        <v>328</v>
      </c>
      <c r="B17" s="76">
        <v>0.12940407550777</v>
      </c>
      <c r="C17" s="80">
        <v>0.4</v>
      </c>
      <c r="D17" s="97" t="s">
        <v>352</v>
      </c>
      <c r="E17" s="75"/>
      <c r="H17" s="1" t="s">
        <v>301</v>
      </c>
      <c r="I17" s="3">
        <v>8.6946530881477593E-2</v>
      </c>
      <c r="R17" s="136" t="s">
        <v>230</v>
      </c>
      <c r="S17" s="144"/>
      <c r="T17" s="144"/>
      <c r="U17" s="144"/>
      <c r="V17" s="137"/>
    </row>
    <row r="18" spans="1:22" x14ac:dyDescent="0.25">
      <c r="A18" s="93" t="s">
        <v>329</v>
      </c>
      <c r="B18" s="76">
        <v>0</v>
      </c>
      <c r="C18" s="80">
        <v>0.3</v>
      </c>
      <c r="D18" s="97" t="s">
        <v>353</v>
      </c>
      <c r="E18" s="75"/>
      <c r="H18" s="1" t="s">
        <v>229</v>
      </c>
      <c r="I18" s="3">
        <v>7.46361373529761</v>
      </c>
      <c r="R18" s="100" t="s">
        <v>242</v>
      </c>
      <c r="S18" s="170">
        <v>1.2</v>
      </c>
      <c r="T18" s="170"/>
      <c r="U18" s="170"/>
      <c r="V18" s="171"/>
    </row>
    <row r="19" spans="1:22" ht="15.75" thickBot="1" x14ac:dyDescent="0.3">
      <c r="A19" s="93" t="s">
        <v>330</v>
      </c>
      <c r="B19" s="76">
        <v>1</v>
      </c>
      <c r="C19" s="77">
        <v>0.6</v>
      </c>
      <c r="D19" s="96" t="s">
        <v>354</v>
      </c>
      <c r="E19" s="75"/>
      <c r="H19" s="104" t="s">
        <v>302</v>
      </c>
      <c r="I19" s="105">
        <v>2.0269303724726471</v>
      </c>
      <c r="R19" s="1" t="s">
        <v>239</v>
      </c>
      <c r="S19" s="151">
        <v>1.4</v>
      </c>
      <c r="T19" s="151"/>
      <c r="U19" s="151"/>
      <c r="V19" s="172"/>
    </row>
    <row r="20" spans="1:22" ht="15.75" thickBot="1" x14ac:dyDescent="0.3">
      <c r="A20" s="93" t="s">
        <v>331</v>
      </c>
      <c r="B20" s="76">
        <v>7.7735316000000001</v>
      </c>
      <c r="C20" s="80">
        <v>0.5</v>
      </c>
      <c r="D20" s="97" t="s">
        <v>394</v>
      </c>
      <c r="E20" s="75"/>
      <c r="H20" s="136" t="s">
        <v>230</v>
      </c>
      <c r="I20" s="137"/>
      <c r="R20" s="1" t="s">
        <v>240</v>
      </c>
      <c r="S20" s="151">
        <v>3.3</v>
      </c>
      <c r="T20" s="151"/>
      <c r="U20" s="151"/>
      <c r="V20" s="172"/>
    </row>
    <row r="21" spans="1:22" x14ac:dyDescent="0.25">
      <c r="A21" s="75" t="s">
        <v>278</v>
      </c>
      <c r="B21" s="76">
        <v>1.0448181727174408</v>
      </c>
      <c r="C21" s="77">
        <v>3</v>
      </c>
      <c r="D21" s="96" t="s">
        <v>355</v>
      </c>
      <c r="E21" s="75"/>
      <c r="H21" s="106" t="s">
        <v>228</v>
      </c>
      <c r="I21" s="92">
        <v>1.2</v>
      </c>
      <c r="R21" s="1" t="s">
        <v>229</v>
      </c>
      <c r="S21" s="151">
        <v>0.6</v>
      </c>
      <c r="T21" s="151"/>
      <c r="U21" s="151"/>
      <c r="V21" s="172"/>
    </row>
    <row r="22" spans="1:22" ht="15.75" thickBot="1" x14ac:dyDescent="0.3">
      <c r="A22" s="131" t="s">
        <v>279</v>
      </c>
      <c r="B22" s="132"/>
      <c r="C22" s="132"/>
      <c r="D22" s="132"/>
      <c r="E22" s="133"/>
      <c r="H22" s="1" t="s">
        <v>300</v>
      </c>
      <c r="I22" s="3">
        <v>1.4</v>
      </c>
      <c r="R22" s="104" t="s">
        <v>241</v>
      </c>
      <c r="S22" s="153">
        <v>1</v>
      </c>
      <c r="T22" s="153"/>
      <c r="U22" s="153"/>
      <c r="V22" s="173"/>
    </row>
    <row r="23" spans="1:22" ht="15.75" thickBot="1" x14ac:dyDescent="0.3">
      <c r="A23" s="93" t="s">
        <v>332</v>
      </c>
      <c r="B23" s="76">
        <v>1.4959295163963406</v>
      </c>
      <c r="C23" s="77">
        <v>8</v>
      </c>
      <c r="D23" s="96" t="s">
        <v>356</v>
      </c>
      <c r="E23" s="75"/>
      <c r="H23" s="1" t="s">
        <v>301</v>
      </c>
      <c r="I23" s="3">
        <v>3.3</v>
      </c>
      <c r="R23" s="136" t="s">
        <v>231</v>
      </c>
      <c r="S23" s="144"/>
      <c r="T23" s="144"/>
      <c r="U23" s="144"/>
      <c r="V23" s="137"/>
    </row>
    <row r="24" spans="1:22" x14ac:dyDescent="0.25">
      <c r="A24" s="93" t="s">
        <v>333</v>
      </c>
      <c r="B24" s="76">
        <v>5.4292869473902234</v>
      </c>
      <c r="C24" s="84">
        <v>6</v>
      </c>
      <c r="D24" s="99" t="s">
        <v>367</v>
      </c>
      <c r="E24" s="75"/>
      <c r="H24" s="1" t="s">
        <v>229</v>
      </c>
      <c r="I24" s="3">
        <v>0.6</v>
      </c>
      <c r="R24" s="100" t="s">
        <v>243</v>
      </c>
      <c r="S24" s="148">
        <v>0.46874078132213781</v>
      </c>
      <c r="T24" s="148"/>
      <c r="U24" s="148"/>
      <c r="V24" s="149"/>
    </row>
    <row r="25" spans="1:22" ht="15.75" thickBot="1" x14ac:dyDescent="0.3">
      <c r="A25" s="75" t="s">
        <v>280</v>
      </c>
      <c r="B25" s="76">
        <v>0.23493065516489159</v>
      </c>
      <c r="C25" s="77">
        <v>5</v>
      </c>
      <c r="D25" s="96" t="s">
        <v>357</v>
      </c>
      <c r="E25" s="75"/>
      <c r="H25" s="104" t="s">
        <v>302</v>
      </c>
      <c r="I25" s="105">
        <v>1</v>
      </c>
      <c r="R25" s="1" t="s">
        <v>239</v>
      </c>
      <c r="S25" s="140">
        <v>0.10280946268773158</v>
      </c>
      <c r="T25" s="140"/>
      <c r="U25" s="140"/>
      <c r="V25" s="141"/>
    </row>
    <row r="26" spans="1:22" ht="15.75" thickBot="1" x14ac:dyDescent="0.3">
      <c r="A26" s="93" t="s">
        <v>334</v>
      </c>
      <c r="B26" s="76">
        <v>2.2199470688496272</v>
      </c>
      <c r="C26" s="77">
        <v>1.5</v>
      </c>
      <c r="D26" s="96" t="s">
        <v>358</v>
      </c>
      <c r="E26" s="75"/>
      <c r="H26" s="136" t="s">
        <v>231</v>
      </c>
      <c r="I26" s="137"/>
      <c r="R26" s="1" t="s">
        <v>240</v>
      </c>
      <c r="S26" s="140">
        <v>0.28692355190887603</v>
      </c>
      <c r="T26" s="140"/>
      <c r="U26" s="140"/>
      <c r="V26" s="141"/>
    </row>
    <row r="27" spans="1:22" x14ac:dyDescent="0.25">
      <c r="A27" s="93" t="s">
        <v>335</v>
      </c>
      <c r="B27" s="219">
        <v>2.2985053017708639</v>
      </c>
      <c r="C27" s="77">
        <v>1.5</v>
      </c>
      <c r="D27" s="96" t="s">
        <v>359</v>
      </c>
      <c r="E27" s="75"/>
      <c r="H27" s="106" t="s">
        <v>228</v>
      </c>
      <c r="I27" s="92">
        <v>1.0582165919274664</v>
      </c>
      <c r="R27" s="1" t="s">
        <v>229</v>
      </c>
      <c r="S27" s="140">
        <v>4.4781682411785626</v>
      </c>
      <c r="T27" s="140"/>
      <c r="U27" s="140"/>
      <c r="V27" s="141"/>
    </row>
    <row r="28" spans="1:22" ht="15.75" thickBot="1" x14ac:dyDescent="0.3">
      <c r="A28" s="131" t="s">
        <v>281</v>
      </c>
      <c r="B28" s="132"/>
      <c r="C28" s="132"/>
      <c r="D28" s="132"/>
      <c r="E28" s="133"/>
      <c r="H28" s="1" t="s">
        <v>300</v>
      </c>
      <c r="I28" s="3">
        <v>0.12172514323406862</v>
      </c>
      <c r="R28" s="104" t="s">
        <v>241</v>
      </c>
      <c r="S28" s="142">
        <v>2.0269303724726471</v>
      </c>
      <c r="T28" s="142"/>
      <c r="U28" s="142"/>
      <c r="V28" s="143"/>
    </row>
    <row r="29" spans="1:22" ht="15.75" thickBot="1" x14ac:dyDescent="0.3">
      <c r="A29" s="93" t="s">
        <v>336</v>
      </c>
      <c r="B29" s="76">
        <v>3.1476797098145104E-2</v>
      </c>
      <c r="C29" s="77">
        <v>0.15</v>
      </c>
      <c r="D29" s="96" t="s">
        <v>360</v>
      </c>
      <c r="E29" s="75"/>
      <c r="H29" s="1" t="s">
        <v>301</v>
      </c>
      <c r="I29" s="3">
        <v>0.28692355190887603</v>
      </c>
      <c r="R29" s="145" t="s">
        <v>305</v>
      </c>
      <c r="S29" s="146"/>
      <c r="T29" s="146"/>
      <c r="U29" s="146"/>
      <c r="V29" s="147"/>
    </row>
    <row r="30" spans="1:22" ht="15.75" thickBot="1" x14ac:dyDescent="0.3">
      <c r="A30" s="93" t="s">
        <v>337</v>
      </c>
      <c r="B30" s="76">
        <v>1.3694463560251122E-2</v>
      </c>
      <c r="C30" s="77">
        <v>0.3</v>
      </c>
      <c r="D30" s="96" t="s">
        <v>361</v>
      </c>
      <c r="E30" s="75"/>
      <c r="H30" s="1" t="s">
        <v>229</v>
      </c>
      <c r="I30" s="3">
        <v>4.4781682411785662</v>
      </c>
      <c r="R30" s="114" t="s">
        <v>364</v>
      </c>
      <c r="S30" s="128">
        <v>7.4999999999999991</v>
      </c>
      <c r="T30" s="129"/>
      <c r="U30" s="129"/>
      <c r="V30" s="130"/>
    </row>
    <row r="31" spans="1:22" ht="15.75" thickBot="1" x14ac:dyDescent="0.3">
      <c r="A31" s="93" t="s">
        <v>338</v>
      </c>
      <c r="B31" s="76">
        <v>1.3694463560251122E-2</v>
      </c>
      <c r="C31" s="77">
        <v>0.15</v>
      </c>
      <c r="D31" s="96" t="s">
        <v>362</v>
      </c>
      <c r="E31" s="75"/>
      <c r="H31" s="104" t="s">
        <v>302</v>
      </c>
      <c r="I31" s="105">
        <v>2.0269303724726471</v>
      </c>
    </row>
    <row r="32" spans="1:22" x14ac:dyDescent="0.25">
      <c r="A32" s="110" t="s">
        <v>339</v>
      </c>
      <c r="B32" s="95">
        <v>3.0400984240047509E-2</v>
      </c>
      <c r="C32" s="96">
        <v>0.08</v>
      </c>
      <c r="D32" s="96" t="s">
        <v>363</v>
      </c>
      <c r="E32" s="94"/>
      <c r="H32" s="138" t="s">
        <v>299</v>
      </c>
      <c r="I32" s="139"/>
      <c r="R32" s="103"/>
    </row>
    <row r="33" spans="1:19" ht="15.75" thickBot="1" x14ac:dyDescent="0.3">
      <c r="H33" s="113" t="s">
        <v>372</v>
      </c>
      <c r="I33" s="174">
        <v>7.9719639007216241</v>
      </c>
      <c r="S33">
        <v>7.3635724095699544</v>
      </c>
    </row>
    <row r="34" spans="1:19" ht="19.5" customHeight="1" x14ac:dyDescent="0.25">
      <c r="I34" s="102"/>
    </row>
    <row r="35" spans="1:19" ht="19.5" customHeight="1" x14ac:dyDescent="0.25">
      <c r="I35" s="102"/>
    </row>
    <row r="36" spans="1:19" ht="19.5" customHeight="1" x14ac:dyDescent="0.25">
      <c r="I36" s="101"/>
    </row>
    <row r="37" spans="1:19" ht="19.5" customHeight="1" x14ac:dyDescent="0.25">
      <c r="A37" s="108" t="s">
        <v>223</v>
      </c>
      <c r="B37" s="87">
        <f>'MİZAN ANALİZ'!E5</f>
        <v>5385610.5399999991</v>
      </c>
      <c r="C37" t="s">
        <v>380</v>
      </c>
      <c r="D37" t="s">
        <v>8</v>
      </c>
      <c r="E37" s="165">
        <v>5385610.54</v>
      </c>
      <c r="H37" s="91"/>
      <c r="I37" s="101"/>
    </row>
    <row r="38" spans="1:19" ht="19.5" customHeight="1" x14ac:dyDescent="0.25">
      <c r="A38" s="108" t="s">
        <v>368</v>
      </c>
      <c r="B38" s="87">
        <f>'MİZAN ANALİZ'!E6</f>
        <v>1343050.4499999955</v>
      </c>
      <c r="C38" t="s">
        <v>381</v>
      </c>
      <c r="D38" t="s">
        <v>373</v>
      </c>
      <c r="E38" s="165">
        <v>1250712.47</v>
      </c>
      <c r="H38" s="91"/>
      <c r="I38" s="101"/>
    </row>
    <row r="39" spans="1:19" ht="19.5" customHeight="1" x14ac:dyDescent="0.25">
      <c r="A39" s="108" t="s">
        <v>291</v>
      </c>
      <c r="B39" s="87">
        <f>'MİZAN ANALİZ'!E32</f>
        <v>3782410.2500000019</v>
      </c>
      <c r="C39" t="s">
        <v>382</v>
      </c>
      <c r="D39" t="s">
        <v>374</v>
      </c>
      <c r="E39" s="165">
        <v>9334834.7699999996</v>
      </c>
      <c r="I39" s="101"/>
    </row>
    <row r="40" spans="1:19" ht="19.5" customHeight="1" x14ac:dyDescent="0.25">
      <c r="A40" s="108" t="s">
        <v>306</v>
      </c>
      <c r="B40" s="87">
        <f>'MİZAN ANALİZ'!F84</f>
        <v>1250712.4700000009</v>
      </c>
      <c r="C40" t="s">
        <v>383</v>
      </c>
      <c r="D40" t="s">
        <v>33</v>
      </c>
      <c r="E40" s="165">
        <v>3782410.25</v>
      </c>
      <c r="I40" s="101"/>
    </row>
    <row r="41" spans="1:19" ht="19.5" customHeight="1" x14ac:dyDescent="0.25">
      <c r="A41" s="108" t="s">
        <v>307</v>
      </c>
      <c r="B41" s="87">
        <f>'MİZAN ANALİZ'!F131</f>
        <v>0</v>
      </c>
      <c r="C41" t="s">
        <v>384</v>
      </c>
      <c r="D41" t="s">
        <v>9</v>
      </c>
      <c r="E41" s="165">
        <v>1343050.45</v>
      </c>
      <c r="I41" s="101"/>
    </row>
    <row r="42" spans="1:19" ht="19.5" customHeight="1" x14ac:dyDescent="0.25">
      <c r="A42" s="108" t="s">
        <v>308</v>
      </c>
      <c r="B42" s="87">
        <f>B40+B41</f>
        <v>1250712.4700000009</v>
      </c>
      <c r="C42" t="s">
        <v>385</v>
      </c>
      <c r="D42" t="s">
        <v>14</v>
      </c>
      <c r="E42" s="165">
        <v>196420.15</v>
      </c>
      <c r="I42" s="101"/>
    </row>
    <row r="43" spans="1:19" ht="19.5" customHeight="1" x14ac:dyDescent="0.25">
      <c r="A43" s="108" t="s">
        <v>292</v>
      </c>
      <c r="B43" s="87">
        <f>'MİZAN ANALİZ'!F154+B65</f>
        <v>9334834.7699999996</v>
      </c>
      <c r="C43" t="s">
        <v>386</v>
      </c>
      <c r="D43" t="s">
        <v>282</v>
      </c>
      <c r="E43">
        <v>0</v>
      </c>
      <c r="I43" s="101"/>
    </row>
    <row r="44" spans="1:19" ht="19.5" customHeight="1" x14ac:dyDescent="0.25">
      <c r="A44" s="108" t="s">
        <v>309</v>
      </c>
      <c r="B44" s="87">
        <f>'MİZAN ANALİZ'!E5+'MİZAN ANALİZ'!E59</f>
        <v>9665170.629999999</v>
      </c>
      <c r="C44" t="s">
        <v>387</v>
      </c>
      <c r="D44" t="s">
        <v>375</v>
      </c>
      <c r="E44">
        <v>0</v>
      </c>
      <c r="I44" s="101"/>
    </row>
    <row r="45" spans="1:19" ht="19.5" customHeight="1" x14ac:dyDescent="0.25">
      <c r="A45" s="108" t="s">
        <v>310</v>
      </c>
      <c r="B45" s="87">
        <f>'MİZAN ANALİZ'!F166</f>
        <v>0</v>
      </c>
      <c r="C45" t="s">
        <v>388</v>
      </c>
      <c r="D45" t="s">
        <v>376</v>
      </c>
      <c r="E45" s="165">
        <v>9665170.6300000008</v>
      </c>
      <c r="I45" s="101"/>
    </row>
    <row r="46" spans="1:19" ht="19.5" customHeight="1" x14ac:dyDescent="0.25">
      <c r="A46" s="108" t="s">
        <v>311</v>
      </c>
      <c r="B46" s="87">
        <f>'MİZAN ANALİZ'!E174</f>
        <v>0</v>
      </c>
      <c r="C46" t="s">
        <v>382</v>
      </c>
      <c r="D46" t="s">
        <v>377</v>
      </c>
      <c r="E46" s="165">
        <v>9334834.7699999996</v>
      </c>
      <c r="I46" s="101"/>
    </row>
    <row r="47" spans="1:19" ht="19.5" customHeight="1" x14ac:dyDescent="0.25">
      <c r="A47" s="108" t="s">
        <v>312</v>
      </c>
      <c r="B47" s="87">
        <f>'MİZAN ANALİZ'!F156</f>
        <v>100000</v>
      </c>
      <c r="C47" t="s">
        <v>389</v>
      </c>
      <c r="D47" t="s">
        <v>128</v>
      </c>
      <c r="E47" s="165">
        <v>100000</v>
      </c>
      <c r="I47" s="101"/>
    </row>
    <row r="48" spans="1:19" ht="19.5" customHeight="1" x14ac:dyDescent="0.25">
      <c r="A48" s="108" t="s">
        <v>293</v>
      </c>
      <c r="B48" s="87">
        <f>'MİZAN ANALİZ'!D228</f>
        <v>293830.7</v>
      </c>
      <c r="C48" t="s">
        <v>390</v>
      </c>
      <c r="D48" t="s">
        <v>378</v>
      </c>
      <c r="E48" s="165">
        <v>21456167.210000001</v>
      </c>
      <c r="I48" s="101"/>
    </row>
    <row r="49" spans="1:9" ht="19.5" customHeight="1" x14ac:dyDescent="0.25">
      <c r="A49" s="108" t="s">
        <v>313</v>
      </c>
      <c r="B49" s="87">
        <f>'MİZAN ANALİZ'!D188</f>
        <v>20535790.600000001</v>
      </c>
      <c r="C49" t="s">
        <v>391</v>
      </c>
      <c r="D49" t="s">
        <v>379</v>
      </c>
      <c r="E49" s="165">
        <v>20535790.600000001</v>
      </c>
      <c r="I49" s="101"/>
    </row>
    <row r="50" spans="1:9" ht="19.5" customHeight="1" x14ac:dyDescent="0.25">
      <c r="A50" s="108" t="s">
        <v>314</v>
      </c>
      <c r="B50" s="87">
        <f>'MİZAN ANALİZ'!D181-'MİZAN ANALİZ'!D190</f>
        <v>2075589.9499999993</v>
      </c>
      <c r="C50" t="s">
        <v>392</v>
      </c>
      <c r="D50" t="s">
        <v>149</v>
      </c>
      <c r="E50" s="165">
        <v>920376.61</v>
      </c>
      <c r="I50" s="101"/>
    </row>
    <row r="51" spans="1:9" ht="19.5" customHeight="1" x14ac:dyDescent="0.25">
      <c r="A51" s="108" t="s">
        <v>295</v>
      </c>
      <c r="B51" s="87" t="str">
        <f>'MİZAN ANALİZ'!D253</f>
        <v>0,00</v>
      </c>
      <c r="C51" t="s">
        <v>393</v>
      </c>
      <c r="D51" t="s">
        <v>152</v>
      </c>
      <c r="E51" s="165">
        <v>920376.61</v>
      </c>
      <c r="I51" s="101"/>
    </row>
    <row r="52" spans="1:9" ht="19.5" customHeight="1" x14ac:dyDescent="0.25">
      <c r="A52" s="108" t="s">
        <v>369</v>
      </c>
      <c r="B52" s="87">
        <f>'MİZAN ANALİZ'!E13</f>
        <v>196420.15000000224</v>
      </c>
      <c r="I52" s="101"/>
    </row>
    <row r="53" spans="1:9" ht="19.5" customHeight="1" x14ac:dyDescent="0.25">
      <c r="A53" s="108" t="s">
        <v>291</v>
      </c>
      <c r="B53" s="87">
        <f>'MİZAN ANALİZ'!E32</f>
        <v>3782410.2500000019</v>
      </c>
      <c r="I53" s="101"/>
    </row>
    <row r="54" spans="1:9" ht="19.5" customHeight="1" x14ac:dyDescent="0.25">
      <c r="A54" s="108" t="s">
        <v>315</v>
      </c>
      <c r="B54" s="87">
        <f>'MİZAN ANALİZ'!F84</f>
        <v>1250712.4700000009</v>
      </c>
      <c r="I54" s="101"/>
    </row>
    <row r="55" spans="1:9" ht="19.5" customHeight="1" x14ac:dyDescent="0.25">
      <c r="A55" s="108" t="s">
        <v>316</v>
      </c>
      <c r="B55" s="87">
        <f>'MİZAN ANALİZ'!D32</f>
        <v>15597107.67</v>
      </c>
      <c r="I55" s="101"/>
    </row>
    <row r="56" spans="1:9" ht="19.5" customHeight="1" x14ac:dyDescent="0.25">
      <c r="A56" s="108" t="s">
        <v>317</v>
      </c>
      <c r="B56" s="87">
        <f>'MİZAN ANALİZ'!D228</f>
        <v>293830.7</v>
      </c>
    </row>
    <row r="57" spans="1:9" ht="19.5" customHeight="1" x14ac:dyDescent="0.25">
      <c r="A57" s="112" t="s">
        <v>344</v>
      </c>
      <c r="B57" s="87">
        <f>'MİZAN ANALİZ'!D180</f>
        <v>21456167.210000001</v>
      </c>
    </row>
    <row r="58" spans="1:9" ht="19.5" customHeight="1" x14ac:dyDescent="0.25">
      <c r="A58" s="108" t="s">
        <v>236</v>
      </c>
      <c r="B58" s="87">
        <f>'MİZAN ANALİZ'!F172</f>
        <v>777353.16</v>
      </c>
    </row>
    <row r="59" spans="1:9" ht="19.5" customHeight="1" x14ac:dyDescent="0.25">
      <c r="A59" s="108" t="s">
        <v>296</v>
      </c>
      <c r="B59" s="87">
        <f>B42-B38</f>
        <v>-92337.979999994626</v>
      </c>
    </row>
    <row r="60" spans="1:9" ht="19.5" customHeight="1" x14ac:dyDescent="0.25">
      <c r="A60" s="108" t="s">
        <v>370</v>
      </c>
      <c r="B60" s="87">
        <f>'MİZAN ANALİZ'!E255</f>
        <v>9665170.629999999</v>
      </c>
    </row>
    <row r="61" spans="1:9" ht="19.5" customHeight="1" x14ac:dyDescent="0.25">
      <c r="A61" s="108" t="s">
        <v>318</v>
      </c>
      <c r="B61" s="87">
        <f>'MİZAN ANALİZ'!E174</f>
        <v>0</v>
      </c>
    </row>
    <row r="62" spans="1:9" ht="19.5" customHeight="1" x14ac:dyDescent="0.25">
      <c r="A62" s="108" t="s">
        <v>319</v>
      </c>
      <c r="B62" s="87">
        <f>B50</f>
        <v>2075589.9499999993</v>
      </c>
    </row>
    <row r="63" spans="1:9" ht="19.5" customHeight="1" x14ac:dyDescent="0.25">
      <c r="A63" s="108" t="s">
        <v>320</v>
      </c>
      <c r="B63" s="87">
        <f>B42-B38</f>
        <v>-92337.979999994626</v>
      </c>
    </row>
    <row r="64" spans="1:9" ht="19.5" customHeight="1" x14ac:dyDescent="0.25">
      <c r="A64" s="108" t="s">
        <v>224</v>
      </c>
      <c r="B64" s="87">
        <f>'MİZAN ANALİZ'!D180-'MİZAN ANALİZ'!D184</f>
        <v>21456167.210000001</v>
      </c>
    </row>
    <row r="65" spans="1:2" ht="19.5" customHeight="1" x14ac:dyDescent="0.25">
      <c r="A65" s="108" t="s">
        <v>225</v>
      </c>
      <c r="B65" s="87">
        <f>'MİZAN ANALİZ'!D180-'MİZAN ANALİZ'!D188</f>
        <v>920376.6099999994</v>
      </c>
    </row>
    <row r="66" spans="1:2" ht="19.5" customHeight="1" x14ac:dyDescent="0.25">
      <c r="A66" s="108" t="s">
        <v>226</v>
      </c>
      <c r="B66" s="87">
        <f>B65</f>
        <v>920376.6099999994</v>
      </c>
    </row>
    <row r="67" spans="1:2" ht="19.5" customHeight="1" x14ac:dyDescent="0.25">
      <c r="A67" s="166" t="s">
        <v>371</v>
      </c>
      <c r="B67" s="167">
        <f>'MİZAN ANALİZ'!E59</f>
        <v>4279560.09</v>
      </c>
    </row>
    <row r="68" spans="1:2" ht="19.5" customHeight="1" x14ac:dyDescent="0.25">
      <c r="A68" s="164" t="s">
        <v>282</v>
      </c>
      <c r="B68" s="165">
        <f>'MİZAN ANALİZ'!E12</f>
        <v>0</v>
      </c>
    </row>
    <row r="69" spans="1:2" ht="19.5" customHeight="1" x14ac:dyDescent="0.25"/>
    <row r="70" spans="1:2" ht="19.5" customHeight="1" x14ac:dyDescent="0.25"/>
    <row r="99" spans="4:4" x14ac:dyDescent="0.25">
      <c r="D99" s="91"/>
    </row>
    <row r="106" spans="4:4" x14ac:dyDescent="0.25">
      <c r="D106" s="91"/>
    </row>
    <row r="122" spans="3:3" x14ac:dyDescent="0.25">
      <c r="C122" s="91"/>
    </row>
  </sheetData>
  <mergeCells count="41">
    <mergeCell ref="R2:V2"/>
    <mergeCell ref="H1:I1"/>
    <mergeCell ref="A2:E2"/>
    <mergeCell ref="H2:I2"/>
    <mergeCell ref="S26:V26"/>
    <mergeCell ref="S21:V21"/>
    <mergeCell ref="S22:V22"/>
    <mergeCell ref="S8:V8"/>
    <mergeCell ref="S9:V9"/>
    <mergeCell ref="S10:V10"/>
    <mergeCell ref="S18:V18"/>
    <mergeCell ref="S19:V19"/>
    <mergeCell ref="S20:V20"/>
    <mergeCell ref="S24:V24"/>
    <mergeCell ref="S25:V25"/>
    <mergeCell ref="S4:V4"/>
    <mergeCell ref="R3:V3"/>
    <mergeCell ref="S5:V5"/>
    <mergeCell ref="S6:V6"/>
    <mergeCell ref="S7:V7"/>
    <mergeCell ref="H3:I3"/>
    <mergeCell ref="H14:I14"/>
    <mergeCell ref="H20:I20"/>
    <mergeCell ref="H26:I26"/>
    <mergeCell ref="H32:I32"/>
    <mergeCell ref="S30:V30"/>
    <mergeCell ref="A7:E7"/>
    <mergeCell ref="A13:E13"/>
    <mergeCell ref="A22:E22"/>
    <mergeCell ref="A28:E28"/>
    <mergeCell ref="S27:V27"/>
    <mergeCell ref="S28:V28"/>
    <mergeCell ref="R17:V17"/>
    <mergeCell ref="R23:V23"/>
    <mergeCell ref="R29:V29"/>
    <mergeCell ref="R11:V11"/>
    <mergeCell ref="S12:V12"/>
    <mergeCell ref="S13:V13"/>
    <mergeCell ref="S14:V14"/>
    <mergeCell ref="S15:V15"/>
    <mergeCell ref="S16:V16"/>
  </mergeCells>
  <phoneticPr fontId="19" type="noConversion"/>
  <conditionalFormatting sqref="E4:E6 E8:E12 E14:E21 E23:E27 E29:E32">
    <cfRule type="containsText" dxfId="1" priority="1" operator="containsText" text="NEGATİF">
      <formula>NOT(ISERROR(SEARCH("NEGATİF",E4)))</formula>
    </cfRule>
    <cfRule type="containsText" dxfId="0" priority="2" operator="containsText" text="POZİTİF">
      <formula>NOT(ISERROR(SEARCH("POZİTİF",E4)))</formula>
    </cfRule>
  </conditionalFormatting>
  <pageMargins left="0.7" right="0.7" top="0.75" bottom="0.75" header="0.3" footer="0.3"/>
  <pageSetup paperSize="9" scale="92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7</vt:i4>
      </vt:variant>
    </vt:vector>
  </HeadingPairs>
  <TitlesOfParts>
    <vt:vector size="7" baseType="lpstr">
      <vt:lpstr>ANA SAYFA</vt:lpstr>
      <vt:lpstr>2022MİZAN</vt:lpstr>
      <vt:lpstr>2023MİZAN</vt:lpstr>
      <vt:lpstr>CARİ DÖNEM MİZAN</vt:lpstr>
      <vt:lpstr>MİZAN ANALİZ</vt:lpstr>
      <vt:lpstr>MİZAN</vt:lpstr>
      <vt:lpstr>FİNANSAL VERİLER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2024-10-24T21:59:23Z</cp:lastPrinted>
  <dcterms:created xsi:type="dcterms:W3CDTF">2024-07-08T15:44:57Z</dcterms:created>
  <dcterms:modified xsi:type="dcterms:W3CDTF">2024-10-25T16:59:30Z</dcterms:modified>
</cp:coreProperties>
</file>