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showInkAnnotation="0" autoCompressPictures="0"/>
  <mc:AlternateContent xmlns:mc="http://schemas.openxmlformats.org/markup-compatibility/2006">
    <mc:Choice Requires="x15">
      <x15ac:absPath xmlns:x15ac="http://schemas.microsoft.com/office/spreadsheetml/2010/11/ac" url="G:\BP\2022\Aplicaciones\Internas\SIMA\Informe\"/>
    </mc:Choice>
  </mc:AlternateContent>
  <xr:revisionPtr revIDLastSave="0" documentId="13_ncr:1_{888057B4-2458-4DF5-9B99-7D318FB677EA}" xr6:coauthVersionLast="47" xr6:coauthVersionMax="47" xr10:uidLastSave="{00000000-0000-0000-0000-000000000000}"/>
  <bookViews>
    <workbookView xWindow="38550" yWindow="135" windowWidth="25590" windowHeight="15165" tabRatio="765" activeTab="2"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state="hidden" r:id="rId5"/>
    <sheet name="Anti-RE - iOS" sheetId="3" state="hidden" r:id="rId6"/>
    <sheet name="Version history" sheetId="2" state="hidden" r:id="rId7"/>
  </sheets>
  <definedNames>
    <definedName name="_xlnm._FilterDatabase" localSheetId="2" hidden="1">'Security Requirements - Android'!$B$3:$I$72</definedName>
    <definedName name="BASE_URL">Dashboard!$D$14</definedName>
    <definedName name="MASVS_VERSION">Dashboard!$D$11</definedName>
    <definedName name="MSTG_VERSION">Dashboard!$D$13</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2" i="6" l="1"/>
  <c r="D14" i="6" l="1"/>
  <c r="G17" i="3" l="1"/>
  <c r="G15" i="3"/>
  <c r="H66" i="1"/>
  <c r="H48" i="1"/>
  <c r="H30" i="1"/>
  <c r="H12" i="1"/>
  <c r="G5" i="11"/>
  <c r="I5" i="10"/>
  <c r="H56" i="10"/>
  <c r="H38" i="10"/>
  <c r="H20" i="10"/>
  <c r="H45" i="1"/>
  <c r="H27" i="1"/>
  <c r="J11" i="10"/>
  <c r="H53" i="10"/>
  <c r="H18" i="10"/>
  <c r="H62" i="1"/>
  <c r="H44" i="1"/>
  <c r="H9" i="1"/>
  <c r="I6" i="10"/>
  <c r="H52" i="10"/>
  <c r="H17" i="10"/>
  <c r="H61" i="1"/>
  <c r="H25" i="1"/>
  <c r="I56" i="10"/>
  <c r="H69" i="10"/>
  <c r="H33" i="10"/>
  <c r="H60" i="1"/>
  <c r="H7" i="1"/>
  <c r="H68" i="10"/>
  <c r="H32" i="10"/>
  <c r="H39" i="10"/>
  <c r="G7" i="3"/>
  <c r="H65" i="1"/>
  <c r="H46" i="1"/>
  <c r="H29" i="1"/>
  <c r="H11" i="1"/>
  <c r="J36" i="10"/>
  <c r="H72" i="10"/>
  <c r="H55" i="10"/>
  <c r="H37" i="10"/>
  <c r="H19" i="10"/>
  <c r="H64" i="1"/>
  <c r="H10" i="1"/>
  <c r="H71" i="10"/>
  <c r="H36" i="10"/>
  <c r="G5" i="3"/>
  <c r="H26" i="1"/>
  <c r="H70" i="10"/>
  <c r="H34" i="10"/>
  <c r="I6" i="1"/>
  <c r="H43" i="1"/>
  <c r="H8" i="1"/>
  <c r="H51" i="10"/>
  <c r="H16" i="10"/>
  <c r="H42" i="1"/>
  <c r="H24" i="1"/>
  <c r="I51" i="10"/>
  <c r="H50" i="10"/>
  <c r="H14" i="10"/>
  <c r="H57" i="10"/>
  <c r="G6" i="3"/>
  <c r="H67" i="1"/>
  <c r="I49" i="1"/>
  <c r="G6" i="11"/>
  <c r="I41" i="1"/>
  <c r="H59" i="1"/>
  <c r="H41" i="1"/>
  <c r="H23" i="1"/>
  <c r="H6" i="1"/>
  <c r="I41" i="10"/>
  <c r="H67" i="10"/>
  <c r="H49" i="10"/>
  <c r="H31" i="10"/>
  <c r="H13" i="10"/>
  <c r="I36" i="10"/>
  <c r="H29" i="10"/>
  <c r="H19" i="1"/>
  <c r="H62" i="10"/>
  <c r="H9" i="10"/>
  <c r="H36" i="1"/>
  <c r="I30" i="10"/>
  <c r="H8" i="10"/>
  <c r="H34" i="1"/>
  <c r="I29" i="10"/>
  <c r="H41" i="10"/>
  <c r="H50" i="1"/>
  <c r="I16" i="10"/>
  <c r="H31" i="1"/>
  <c r="I38" i="1"/>
  <c r="H58" i="1"/>
  <c r="H40" i="1"/>
  <c r="H22" i="1"/>
  <c r="H5" i="1"/>
  <c r="I38" i="10"/>
  <c r="H66" i="10"/>
  <c r="H48" i="10"/>
  <c r="H30" i="10"/>
  <c r="H12" i="10"/>
  <c r="I36" i="1"/>
  <c r="H57" i="1"/>
  <c r="H39" i="1"/>
  <c r="H21" i="1"/>
  <c r="G17" i="11"/>
  <c r="H65" i="10"/>
  <c r="H46" i="10"/>
  <c r="H11" i="10"/>
  <c r="H37" i="1"/>
  <c r="G13" i="11"/>
  <c r="H44" i="10"/>
  <c r="H71" i="1"/>
  <c r="H18" i="1"/>
  <c r="H43" i="10"/>
  <c r="H70" i="1"/>
  <c r="H17" i="1"/>
  <c r="H60" i="10"/>
  <c r="H7" i="10"/>
  <c r="H59" i="10"/>
  <c r="H32" i="1"/>
  <c r="H22" i="10"/>
  <c r="I11" i="10"/>
  <c r="H21" i="10"/>
  <c r="I11" i="1"/>
  <c r="H56" i="1"/>
  <c r="H38" i="1"/>
  <c r="H20" i="1"/>
  <c r="G15" i="11"/>
  <c r="I32" i="10"/>
  <c r="H64" i="10"/>
  <c r="H45" i="10"/>
  <c r="H27" i="10"/>
  <c r="H10" i="10"/>
  <c r="H55" i="1"/>
  <c r="I31" i="10"/>
  <c r="H26" i="10"/>
  <c r="H53" i="1"/>
  <c r="G10" i="11"/>
  <c r="H25" i="10"/>
  <c r="G9" i="11"/>
  <c r="H42" i="10"/>
  <c r="G8" i="11"/>
  <c r="H6" i="10"/>
  <c r="G7" i="11"/>
  <c r="H5" i="10"/>
  <c r="H13" i="1"/>
  <c r="H72" i="1"/>
  <c r="H61" i="10"/>
  <c r="H52" i="1"/>
  <c r="H24" i="10"/>
  <c r="H68" i="1"/>
  <c r="H58" i="10"/>
  <c r="H69" i="1"/>
  <c r="H51" i="1"/>
  <c r="H33" i="1"/>
  <c r="H16" i="1"/>
  <c r="I26" i="10"/>
  <c r="H23" i="10"/>
  <c r="H14" i="1"/>
  <c r="H40" i="10"/>
  <c r="H49" i="1"/>
  <c r="H43" i="7"/>
  <c r="I43" i="7"/>
  <c r="H44" i="7"/>
  <c r="I44" i="7"/>
  <c r="H45" i="7"/>
  <c r="I45" i="7"/>
  <c r="H46" i="7"/>
  <c r="I46" i="7"/>
  <c r="H47" i="7"/>
  <c r="I47" i="7"/>
  <c r="H48" i="7"/>
  <c r="I48" i="7"/>
  <c r="H49" i="7"/>
  <c r="I49" i="7"/>
  <c r="H50" i="7"/>
  <c r="I50" i="7"/>
  <c r="D43" i="7"/>
  <c r="E43" i="7"/>
  <c r="D44" i="7"/>
  <c r="E44" i="7"/>
  <c r="D45" i="7"/>
  <c r="E45" i="7"/>
  <c r="D46" i="7"/>
  <c r="E46" i="7"/>
  <c r="D47" i="7"/>
  <c r="E47" i="7"/>
  <c r="D48" i="7"/>
  <c r="E48" i="7"/>
  <c r="D49" i="7"/>
  <c r="E49" i="7"/>
  <c r="D50" i="7"/>
  <c r="E50" i="7"/>
  <c r="J44" i="7"/>
  <c r="F49" i="7"/>
  <c r="F48" i="7"/>
  <c r="J50" i="7"/>
  <c r="J49" i="7"/>
  <c r="J48" i="7"/>
  <c r="J47" i="7"/>
  <c r="J46" i="7"/>
  <c r="J45" i="7"/>
  <c r="J43" i="7"/>
  <c r="F50" i="7"/>
  <c r="F47" i="7"/>
  <c r="F46" i="7"/>
  <c r="F45" i="7"/>
  <c r="F44" i="7"/>
  <c r="F43" i="7"/>
  <c r="G45" i="7" l="1"/>
  <c r="G44" i="7"/>
  <c r="K50" i="7"/>
  <c r="K46" i="7"/>
  <c r="G43" i="7"/>
  <c r="K43" i="7"/>
  <c r="K48" i="7"/>
  <c r="G50" i="7"/>
  <c r="G49" i="7"/>
  <c r="K49" i="7"/>
  <c r="K45" i="7"/>
  <c r="G48" i="7"/>
  <c r="G47" i="7"/>
  <c r="K44" i="7"/>
  <c r="G46" i="7"/>
  <c r="K47" i="7"/>
  <c r="V8" i="7" l="1"/>
  <c r="G8" i="7"/>
</calcChain>
</file>

<file path=xl/sharedStrings.xml><?xml version="1.0" encoding="utf-8"?>
<sst xmlns="http://schemas.openxmlformats.org/spreadsheetml/2006/main" count="1063" uniqueCount="362">
  <si>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</si>
  <si>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</si>
  <si>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</si>
  <si>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</si>
  <si>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</si>
  <si>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</si>
  <si>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</si>
  <si>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</si>
  <si>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</si>
  <si>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</si>
  <si>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</si>
  <si>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</si>
  <si>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</si>
  <si>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</si>
  <si>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</si>
  <si>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</si>
  <si>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</si>
  <si>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</si>
  <si>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</si>
  <si>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</si>
  <si>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</si>
  <si>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</si>
  <si>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</si>
  <si>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</si>
  <si>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</si>
  <si>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</si>
  <si>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</si>
  <si>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</si>
  <si>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</si>
  <si>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</si>
  <si>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</si>
  <si>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</si>
  <si>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</si>
  <si>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</si>
  <si>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</si>
  <si>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</si>
  <si>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</si>
  <si>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</si>
  <si>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</si>
  <si>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</si>
  <si>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</si>
  <si>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</si>
  <si>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</si>
  <si>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</si>
  <si>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</si>
  <si>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</si>
  <si>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</si>
  <si>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</si>
  <si>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</si>
  <si>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</si>
  <si>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</si>
  <si>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</si>
  <si>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</si>
  <si>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</si>
  <si>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</si>
  <si>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</si>
  <si>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</si>
  <si>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</si>
  <si>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</si>
  <si>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</si>
  <si>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</si>
  <si>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</si>
  <si>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</si>
  <si>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</si>
  <si>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</si>
  <si>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</si>
  <si>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Testing information iOS</t>
  </si>
  <si>
    <t>`</t>
  </si>
  <si>
    <t>Management Summary</t>
  </si>
  <si>
    <t/>
  </si>
  <si>
    <t>Comment</t>
  </si>
  <si>
    <t>Pass</t>
  </si>
  <si>
    <t>Fail</t>
  </si>
  <si>
    <t>P</t>
  </si>
  <si>
    <t>F</t>
  </si>
  <si>
    <t>NA</t>
  </si>
  <si>
    <t>%</t>
  </si>
  <si>
    <t>Android</t>
  </si>
  <si>
    <t>iOS</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</si>
  <si>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</si>
  <si>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</si>
  <si>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</si>
  <si>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</si>
  <si>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</si>
  <si>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</si>
  <si>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</si>
  <si>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</si>
  <si>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</si>
  <si>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</si>
  <si>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</si>
  <si>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</si>
  <si>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</si>
  <si>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</si>
  <si>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</si>
  <si>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</si>
  <si>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</si>
  <si>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</si>
  <si>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</si>
  <si>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</si>
  <si>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</si>
  <si>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</si>
  <si>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V1: Requisitos de Arquitectura, Diseño y Modelado de Amenazas</t>
  </si>
  <si>
    <t>V2: Requerimientos en el Almacenamiento de datos y la Privacidad</t>
  </si>
  <si>
    <t>V3: Requerimientos de Criptografía</t>
  </si>
  <si>
    <t>V4: Requerimientos de Autenticación y Manejo de Sesiones</t>
  </si>
  <si>
    <t>V5: Requerimientos de Comunicación a través de la red</t>
  </si>
  <si>
    <t>V6: Requerimientos de Interacción con la Plataforma</t>
  </si>
  <si>
    <t>V7: Requerimientos de Calidad de Código y Configuración del Compilador</t>
  </si>
  <si>
    <t>V8: Requerimientos de Resistencia ante la Ingeniería Inversa</t>
  </si>
  <si>
    <t xml:space="preserve"> Cumplimiento Estándar MASVS ( / 5)</t>
  </si>
  <si>
    <t>Cumplimiento Estandar ( / 5)</t>
  </si>
  <si>
    <t xml:space="preserve">Verificación detallada de requerimientos </t>
  </si>
  <si>
    <t>Arquitectura, Diseño y Modelado de Amenazas</t>
  </si>
  <si>
    <t>Almacenamiento de datos y la Privacidad</t>
  </si>
  <si>
    <t>Criptografía</t>
  </si>
  <si>
    <t>Autenticación y Manejo de Sesiones</t>
  </si>
  <si>
    <t>Comunicación a través de la red</t>
  </si>
  <si>
    <t>Interacción con la Plataforma</t>
  </si>
  <si>
    <t>Calidad de Código y Configuración del Compilador</t>
  </si>
  <si>
    <t>Resistencia ante la Ingeniería Inversa</t>
  </si>
  <si>
    <t>V8</t>
  </si>
  <si>
    <t>Todos los componentes se encuentran identificados y asegurar que son necesarios.</t>
  </si>
  <si>
    <t>Se definió una arquitectura de alto nivel para la aplicación y los servicios y se incluyeron controles de seguridad en la misma.</t>
  </si>
  <si>
    <t>Se identificó claramente la información considerada sensible en el contexto de la aplicación móvil.</t>
  </si>
  <si>
    <t>Todos los componentes de la aplicación están definidos en términos de la lógica de negocio o las funciones de seguridad que proveen.</t>
  </si>
  <si>
    <t>Se realizó un modelado de amenazas para la aplicación móvil y los servicios en el que se definieron las mismas y sus contramedidas.</t>
  </si>
  <si>
    <t>La implementación de los controles de seguridad se encuentra centralizada.</t>
  </si>
  <si>
    <t>Existe una política explícita para el manejo de las claves criptográficas (si se usan) y se refuerza su ciclo de vida. Idealmente siguiendo un estándar del manejo de claves como el NIST SP 800-57.</t>
  </si>
  <si>
    <t>Existe un mecanismo para imponer las actualizaciones de la aplicación móvil.</t>
  </si>
  <si>
    <t>Se realizan tareas de seguridad en todo el ciclo de vida de la aplicación.</t>
  </si>
  <si>
    <t>No se escribe información sensible en los registros de la aplicación.</t>
  </si>
  <si>
    <t>No se comparte información sensible con servicios externos salvo que sea una necesidad de la arquitectura.</t>
  </si>
  <si>
    <t>Se desactiva el caché del teclado en los campos de texto donde se maneja información sensible.</t>
  </si>
  <si>
    <t>No se expone información sensible mediante mecanismos entre procesos (IPC).</t>
  </si>
  <si>
    <t>No se expone información sensible como contraseñas y números de tarjetas de crédito a través de la interfaz o capturas de pantalla.</t>
  </si>
  <si>
    <t>No se incluye información sensible en los respaldos generados por el sistema operativo.</t>
  </si>
  <si>
    <t>La aplicación remueve la información sensible de la vista cuando la aplicación pasa a un segundo plano.</t>
  </si>
  <si>
    <t>La aplicación no conserva la información sensible en memoria más de lo necesario y la memoria es limpiada luego de su uso.</t>
  </si>
  <si>
    <t>La aplicación obliga a que exista una política mínima de seguridad en el dispositivo, como que el usuario deba configurar un código de acceso.</t>
  </si>
  <si>
    <t>La aplicación utiliza implementaciones de criptografía probadas.</t>
  </si>
  <si>
    <t>La aplicación utiliza primitivas de seguridad que son apropiadas para el caso particular y su configuración y sus parámetros siguen las mejores prácticas de la industria.</t>
  </si>
  <si>
    <t>La aplicación no utiliza protocolos o algoritmos criptográficos que son considerados deprecados para aspectos de seguridad.</t>
  </si>
  <si>
    <t>La aplicación no reutiliza una misma clave criptográfica para varios propósitos.</t>
  </si>
  <si>
    <t>Los valores aleatorios son generados utilizando un generador de números suficientemente aleatorios.</t>
  </si>
  <si>
    <t>Si la aplicación provee acceso a un servicio remoto, un mecanismo aceptable de autenticación como usuario y contraseña es realizado en el servidor remoto.</t>
  </si>
  <si>
    <t>Si se utiliza la gestión de sesión por estado, el servidor remoto usa tokens de acceso aleatorios para autenticar los pedidos del cliente sin requerir el envío de las credenciales del usuario en cada uno.</t>
  </si>
  <si>
    <t>Si se utiliza la autenticación basada en tokens sin estado, el servidor proporciona un token que se ha firmado utilizando un algoritmo seguro.</t>
  </si>
  <si>
    <t>Cuando el usuario cierra sesión se termina la sesión también en el servidor.</t>
  </si>
  <si>
    <t>Existe una política de contraseñas y es aplicada en el servidor.</t>
  </si>
  <si>
    <t>El servidor implementa mecanismos, cuando credenciales de autenticación son ingresadas una cantidad excesiva de veces.</t>
  </si>
  <si>
    <t>Las sesiones y los tokens de acceso expiran luego de un tiempo predefinido de inactividad.</t>
  </si>
  <si>
    <t>La autenticación biométrica, si hay, no está atada a un evento (usando una API que simplemente retorna "true" o "false"). Sino que está basado en el desbloqueo del keychain (iOS) o un keystore (Android).</t>
  </si>
  <si>
    <t>Existe un mecanismo de segundo factor de autenticación (2FA) en el servidor y es aplicado consistentemente.</t>
  </si>
  <si>
    <t>La aplicación informa al usuario acerca de los accesos a su cuenta. El usuario es capaz de ver una lista de los dispositivos conectados y bloquear el acceso desde ciertos dispositivos.</t>
  </si>
  <si>
    <t>La información es enviada cifrada utilizando TLS. El canal seguro es usado consistentemente en la aplicación.</t>
  </si>
  <si>
    <t>Las configuraciones del protocolo TLS siguen las mejores prácticas o tan cerca posible mientras que el sistema operativo del dispositivo lo permite.</t>
  </si>
  <si>
    <t>La aplicación verifica el certificado X.509 del servidor al establecer el canal seguro y solo se aceptan certificados firmados por una CA válida.</t>
  </si>
  <si>
    <t>La aplicación utiliza su propio almacén de certificados o realiza una fijación del certificado o la clave pública del servidor y no establece una conexión con servidores que ofrecen otros certificados o clave por más que estén firmados por una CA confiable.</t>
  </si>
  <si>
    <t>La aplicación no depende de un único canal de comunicaciones inseguro (email o SMS) para operaciones críticas como registros o recuperación de cuentas.</t>
  </si>
  <si>
    <t>La aplicación sólo depende de bibliotecas de conectividad y seguridad actualizadas.</t>
  </si>
  <si>
    <t>La aplicación requiere la mínima cantidad de permisos.</t>
  </si>
  <si>
    <t>Toda entrada del usuario y fuentes externas es validada y si es necesario sanitizada. Esto incluye información recibida por la UI, y mecanismo IPC como los intents, URLs y fuentes de la red.</t>
  </si>
  <si>
    <t>La aplicación no exporta funcionalidades sensibles vía esquemas de URL, salvo que dichos mecanismos estén debidamente protegidos.</t>
  </si>
  <si>
    <t>La aplicación no exporta funcionalidades sensibles a través de mecanismos IPC salvo que los mecanismos estén debidamente protegidos.</t>
  </si>
  <si>
    <t>JavaScript se encuentra deshabilitado en los WebViews salvo que sea necesario.</t>
  </si>
  <si>
    <t>Si objetos nativos son expuestos en WebViews, verificar que solo se cargan JavaScripts contenidos del paquete de la aplicación.</t>
  </si>
  <si>
    <t>Serialización de objetos, si se realiza, se implementa utilizando API seguras.</t>
  </si>
  <si>
    <t>La aplicación fue liberada en modo release y con las configuraciones apropiadas para el mismo (ej. non-debuggable).</t>
  </si>
  <si>
    <t>Los símbolos de debug fueron removidos de los binarios nativos.</t>
  </si>
  <si>
    <t>La aplicación no contiene código de prueba y no realiza log de errores o mensajes de debug.</t>
  </si>
  <si>
    <t>Todos los componentes de terceros se encuentran identificados y revisados por vulnerabilidades conocidas.</t>
  </si>
  <si>
    <t>La aplicación captura y maneja debidamente las posibles excepciones.</t>
  </si>
  <si>
    <t>Los controles de seguridad deniegan el acceso por defecto.</t>
  </si>
  <si>
    <t>En código no administrado, la memoria es pedida, usada y liberada de manera correcta.</t>
  </si>
  <si>
    <t>La aplicación detecta y responde a la presencia de un dispositivo rooteado, ya sea alertando al usuario o finalizando la ejecución de la aplicación.</t>
  </si>
  <si>
    <t>La aplicación previene el debugging o detecta y responde al debugging de la aplicación. Se deben cubrir todos los protocolos.</t>
  </si>
  <si>
    <t>La aplicación detecta y responde a modificaciones de ejecutables y datos críticos de la propia aplicación.</t>
  </si>
  <si>
    <t>La aplicación detecta la presencia de las herramientas de ingeniería reversa o frameworks mas utilizados.</t>
  </si>
  <si>
    <t>La aplicación detecta y responde al ser ejecutada en un emulador.</t>
  </si>
  <si>
    <t>La aplicación detecta y responde ante modificaciones de código o datos en su propio espacio de memoria.</t>
  </si>
  <si>
    <t>Los mecanismos de detección disparan distintos tipos de respuestas, incluyendo respuestas retardadas y silenciosas.</t>
  </si>
  <si>
    <t>La ofuscación es aplicada a las defensas del programa, lo que a su vez impide la des-ofuscación mediante el análisis dinámico.</t>
  </si>
  <si>
    <t>Todos los archivos ejecutables y bibliotecas correspondientes a la aplicación se encuentran cifrados, o bien los segmentos importantes de código se encuentran cifrados o empaquetados. De este modo el análisis estático trivial no revela código importante o datos.</t>
  </si>
  <si>
    <t>Atadura del Dispositivo</t>
  </si>
  <si>
    <t>Impedir la comprensión</t>
  </si>
  <si>
    <t>Impedir el Análisis Dinámico y la Manipulación</t>
  </si>
  <si>
    <t>Resistencia ante la Ingeniería Inversa - Android</t>
  </si>
  <si>
    <t>Requisitos de Seguridad MASVS para - Android</t>
  </si>
  <si>
    <t>Requisitos de Seguridad MASVS para - iOS</t>
  </si>
  <si>
    <t>Resistencia ante la Ingeniería Inversa - iOS</t>
  </si>
  <si>
    <r>
      <t xml:space="preserve">OWASP Lista de Verificación de Seguridad en Aplicaciones Móviles
</t>
    </r>
    <r>
      <rPr>
        <sz val="14"/>
        <rFont val="Trebuchet MS"/>
        <family val="2"/>
      </rPr>
      <t xml:space="preserve">
Basado en el Estándar de Verificación de Seguridad en Aplicaciones Móviles 1.0 de OWASP.</t>
    </r>
  </si>
  <si>
    <t>Información general de evaluación</t>
  </si>
  <si>
    <t>Nombre del Cliente:</t>
  </si>
  <si>
    <t>Lugar de la evaluación:</t>
  </si>
  <si>
    <t>Fecha de Inicio:</t>
  </si>
  <si>
    <t>Fecha de Cierre:</t>
  </si>
  <si>
    <t>Nombre del Evaluador:</t>
  </si>
  <si>
    <t>Alcance de la Evaluación</t>
  </si>
  <si>
    <t>Nivel de verificación</t>
  </si>
  <si>
    <r>
      <rPr>
        <b/>
        <sz val="10"/>
        <rFont val="Trebuchet MS"/>
        <family val="2"/>
      </rPr>
      <t>Nivel 1:</t>
    </r>
    <r>
      <rPr>
        <sz val="10"/>
        <rFont val="Trebuchet MS"/>
        <family val="2"/>
      </rPr>
      <t xml:space="preserve"> Seguridad estándar. </t>
    </r>
    <r>
      <rPr>
        <b/>
        <sz val="10"/>
        <rFont val="Trebuchet MS"/>
        <family val="2"/>
      </rPr>
      <t>Nivel 2:</t>
    </r>
    <r>
      <rPr>
        <sz val="10"/>
        <rFont val="Trebuchet MS"/>
        <family val="2"/>
      </rPr>
      <t xml:space="preserve"> Defensa en profundidad.</t>
    </r>
    <r>
      <rPr>
        <b/>
        <sz val="10"/>
        <rFont val="Trebuchet MS"/>
        <family val="2"/>
      </rPr>
      <t xml:space="preserve"> Nivel- 3:</t>
    </r>
    <r>
      <rPr>
        <sz val="10"/>
        <rFont val="Trebuchet MS"/>
        <family val="2"/>
      </rPr>
      <t xml:space="preserve"> Resistencia contra la ingeniería inversa y la manipulación.</t>
    </r>
  </si>
  <si>
    <t>Información de Evaluación Plataforma Android</t>
  </si>
  <si>
    <t>Nombre de la aplicación:</t>
  </si>
  <si>
    <t>Enlace de Google Play</t>
  </si>
  <si>
    <t>Nombre del Archivo</t>
  </si>
  <si>
    <t>Versión</t>
  </si>
  <si>
    <t>Enlace de Apple Store</t>
  </si>
  <si>
    <t>Hash MD5 del archivo APK</t>
  </si>
  <si>
    <t>Hash MD5 del archivo IPA</t>
  </si>
  <si>
    <t>Representantes del Cliente e Información de Contacto</t>
  </si>
  <si>
    <t>Nombres:</t>
  </si>
  <si>
    <t>Empresa:</t>
  </si>
  <si>
    <t>Posición:</t>
  </si>
  <si>
    <t>Teléfono:</t>
  </si>
  <si>
    <t>Correo Electrónico:</t>
  </si>
  <si>
    <t>Franklin Volquez</t>
  </si>
  <si>
    <t>Leyenda</t>
  </si>
  <si>
    <t>Definición</t>
  </si>
  <si>
    <t>Requerimiento es aplicable a la Aplicación y se ha implementado de acuerdo con a las buenas prácticas</t>
  </si>
  <si>
    <t>El requisito se aplicó a la aplicación pero no ha sido satisfactorio.</t>
  </si>
  <si>
    <t>El requisito no es aplicable a la aplicación móvil</t>
  </si>
  <si>
    <t>Símbolo</t>
  </si>
  <si>
    <t>Nivel 1</t>
  </si>
  <si>
    <t>Nivel 2</t>
  </si>
  <si>
    <t>Estado</t>
  </si>
  <si>
    <t>Procedimiento de Evaluación</t>
  </si>
  <si>
    <t>Comentarios</t>
  </si>
  <si>
    <r>
      <t xml:space="preserve">Spanish translation of the Security Check List. </t>
    </r>
    <r>
      <rPr>
        <sz val="8"/>
        <color theme="1"/>
        <rFont val="Calibri"/>
        <family val="2"/>
      </rPr>
      <t>The translation is based on the content published on https://github.com/OWASP/owasp-masvs/blob/master/Document-es/0x03-Using_the_MASVS.md</t>
    </r>
  </si>
  <si>
    <t>1.0.1</t>
  </si>
  <si>
    <t>Versión online del MSTG</t>
  </si>
  <si>
    <t>Versión del MASVS</t>
  </si>
  <si>
    <t>Las dos filas anteriores se utilizan para construir la base para todos los hipervínculos en las listas de control de Android e iOS.
Ajuste a su caso de uso específico para actualizar todos los hipervínculos a una versión específica del MSTG</t>
  </si>
  <si>
    <t>añadiendo el enlace base al repositorio MSTG</t>
  </si>
  <si>
    <t>Abderrahmane Aftahi</t>
  </si>
  <si>
    <t>1.1.4</t>
  </si>
  <si>
    <t>Versión online del MASVS</t>
  </si>
  <si>
    <t>1.0.2</t>
  </si>
  <si>
    <t>1.0.3</t>
  </si>
  <si>
    <t>Corrigiendo el enlace al repositorio MSTG y agregando un enlace al repositorio MASVS</t>
  </si>
  <si>
    <t>Los controles de seguridad nunca se aplican sólo en el cliente, sino que también en los respectivos servidores.</t>
  </si>
  <si>
    <t>Las funcionalidades de almacenamiento de credenciales del sistema son utilizadas para almacenar la información sensible, como la información personal, credenciales del usuario y claves criptográficas.</t>
  </si>
  <si>
    <t>No se debe almacenar información sensible fuera del contenedor de la aplicación o del almacenamiento de credenciales del sistema.</t>
  </si>
  <si>
    <t>La aplicación educa al usuario acerca de los tipos de información personal que procesa y de las mejores prácticas en seguridad que el usuario debería seguir al utilizar la aplicación.</t>
  </si>
  <si>
    <t>La aplicación no depende de únicamente de criptografía simétrica con claves escritas en el código.</t>
  </si>
  <si>
    <t>Para realizar transacciones se requiere una re-autenticación.</t>
  </si>
  <si>
    <t>Los WebViews se encuentran configurados para permitir el mínimo de los manejadores (idealmente, solo https). Manejadores peligrosos como file, tel y app-id  se encuentran deshabilitados.</t>
  </si>
  <si>
    <t>La aplicación es firmada y provista con un certificado válido, del cual se protege debidamente su clave privada.</t>
  </si>
  <si>
    <t>Las funcionalidades de seguridad gratuitas de las herramientas, como minificación del byte-code, protección de la pila, soporte PIE y conteo automático de referencias, se encuentran activadas.</t>
  </si>
  <si>
    <t>Si el objetivo de la ofuscación es proteger el código propietario, se utiliza un esquema de ofuscación que es apropiado tanto para la tarea particular como robusto contra los métodos de des-ofuscación manual y automatizada, considerando la investigación publicada actualmente. La eficacia del esquema de ofuscación debe verificarse mediante pruebas manuales. Tenga en cuenta que las características de aislamiento basadas en hardware son preferibles a la ofuscación siempre que sea posible.</t>
  </si>
  <si>
    <t>La aplicación implementa un "enlace al dispositivo" utilizando una huella del dispositivo derivado de varias propiedades únicas al mismo.</t>
  </si>
  <si>
    <t>La aplicación implementa múltiples mecanismos de detección para los puntos del 8.1 al 8.6. Nótese que, a mayor cantidad y diversidad de mecanismos usados, mayor la resistencia.</t>
  </si>
  <si>
    <t>8.1</t>
  </si>
  <si>
    <t>8.2</t>
  </si>
  <si>
    <t>8.3</t>
  </si>
  <si>
    <t>8.4</t>
  </si>
  <si>
    <t>8.5</t>
  </si>
  <si>
    <t>8.6</t>
  </si>
  <si>
    <t>8.7</t>
  </si>
  <si>
    <t>8.8</t>
  </si>
  <si>
    <t>8.11</t>
  </si>
  <si>
    <t>8.12</t>
  </si>
  <si>
    <t>1.2</t>
  </si>
  <si>
    <t>1.3</t>
  </si>
  <si>
    <t>1.4</t>
  </si>
  <si>
    <t>1.5</t>
  </si>
  <si>
    <t>1.6</t>
  </si>
  <si>
    <t>1.8</t>
  </si>
  <si>
    <t>1.9</t>
  </si>
  <si>
    <t>5.6</t>
  </si>
  <si>
    <t>6.7</t>
  </si>
  <si>
    <t>6.8</t>
  </si>
  <si>
    <t>MSTG-ID</t>
  </si>
  <si>
    <t>MSTG-ARCH-1</t>
  </si>
  <si>
    <t>MSTG-ARCH-2</t>
  </si>
  <si>
    <t>MSTG-ARCH-4</t>
  </si>
  <si>
    <t>MSTG-ARCH-5</t>
  </si>
  <si>
    <t>MSTG-ARCH-6</t>
  </si>
  <si>
    <t>MSTG-ARCH-7</t>
  </si>
  <si>
    <t>MSTG-ARCH-8</t>
  </si>
  <si>
    <t>MSTG-ARCH-9</t>
  </si>
  <si>
    <t>MSTG-ARCH-10</t>
  </si>
  <si>
    <t>MSTG-ARCH-3</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</si>
  <si>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</si>
  <si>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</si>
  <si>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</si>
  <si>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</si>
  <si>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</si>
  <si>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</si>
  <si>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</si>
  <si>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</si>
  <si>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</si>
  <si>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</si>
  <si>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</si>
  <si>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</si>
  <si>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</si>
  <si>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</si>
  <si>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</si>
  <si>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</si>
  <si>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MSTG-CRYPTO-5</t>
  </si>
  <si>
    <t>MSTG-CRYPTO-6</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</si>
  <si>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</si>
  <si>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</si>
  <si>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</si>
  <si>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</si>
  <si>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</si>
  <si>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</si>
  <si>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</si>
  <si>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</si>
  <si>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</si>
  <si>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</si>
  <si>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</si>
  <si>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</si>
  <si>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</si>
  <si>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</si>
  <si>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</si>
  <si>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</si>
  <si>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</si>
  <si>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</si>
  <si>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</si>
  <si>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</si>
  <si>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</si>
  <si>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</si>
  <si>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</si>
  <si>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</si>
  <si>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</si>
  <si>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</si>
  <si>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</si>
  <si>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</si>
  <si>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</si>
  <si>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</si>
  <si>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</si>
  <si>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</si>
  <si>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</si>
  <si>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</si>
  <si>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MSTG-RESILIENCE-1</t>
  </si>
  <si>
    <t>MSTG-RESILIENCE-3</t>
  </si>
  <si>
    <t>MSTG-RESILIENCE-4</t>
  </si>
  <si>
    <t>MSTG-RESILIENCE-5</t>
  </si>
  <si>
    <t>MSTG-RESILIENCE-6</t>
  </si>
  <si>
    <t>MSTG-RESILIENCE-7</t>
  </si>
  <si>
    <t>MSTG-RESILIENCE-8</t>
  </si>
  <si>
    <t>MSTG-RESILIENCE-9</t>
  </si>
  <si>
    <t>MSTG-RESILIENCE-10</t>
  </si>
  <si>
    <t>MSTG-RESILIENCE-11</t>
  </si>
  <si>
    <t>MSTG-RESILIENCE-12</t>
  </si>
  <si>
    <t>MSTG-RESILIENCE-2</t>
  </si>
  <si>
    <t>Updates:
- Adding the MSTG-IDs
- Covering the V1 MSTG links</t>
  </si>
  <si>
    <t>1.1.3</t>
  </si>
  <si>
    <t>Procédure de Test</t>
  </si>
  <si>
    <t xml:space="preserve"> -</t>
  </si>
  <si>
    <t>Banco Pichincha</t>
  </si>
  <si>
    <t>7b0d838b5c4230a459c0c56148f2d987</t>
  </si>
  <si>
    <t>Jorge Cedillo</t>
  </si>
  <si>
    <t>SIMA</t>
  </si>
  <si>
    <t xml:space="preserve">Pichincha - 7.3.5-p </t>
  </si>
  <si>
    <t>7.3.5-p.release.build.77.apk</t>
  </si>
  <si>
    <t>7.3.5</t>
  </si>
  <si>
    <t xml:space="preserve">German Patricio Salazar Perez </t>
  </si>
  <si>
    <t>ESPECIALISTA PROYECTOS MICROFINANZAS</t>
  </si>
  <si>
    <t>gpsalaza@pichincha.com</t>
  </si>
  <si>
    <t>maarmas@pichincha.com</t>
  </si>
  <si>
    <t>COORDINADOR OPERATIVO</t>
  </si>
  <si>
    <t xml:space="preserve">Daysi Margarita Armas Caza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</si>
</sst>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4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b/>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b/>
      <sz val="11"/>
      <color rgb="FFFFFFFF"/>
      <name val="Calibri"/>
      <family val="2"/>
    </font>
    <font>
      <b/>
      <sz val="11"/>
      <color rgb="FF000000"/>
      <name val="Calibri"/>
      <family val="2"/>
    </font>
    <font>
      <b/>
      <sz val="11"/>
      <name val="Calibri"/>
      <family val="2"/>
    </font>
    <font>
      <b/>
      <sz val="14"/>
      <color theme="1"/>
      <name val="Calibri"/>
      <family val="2"/>
    </font>
    <font>
      <b/>
      <sz val="11"/>
      <color theme="1"/>
      <name val="Calibri"/>
      <family val="2"/>
    </font>
    <font>
      <sz val="11"/>
      <color theme="1"/>
      <name val="Calibri"/>
      <family val="2"/>
    </font>
    <font>
      <sz val="8"/>
      <color theme="1"/>
      <name val="Calibri"/>
      <family val="2"/>
    </font>
    <font>
      <sz val="10"/>
      <color theme="1"/>
      <name val="Arial Unicode MS"/>
    </font>
    <font>
      <b/>
      <sz val="11"/>
      <color theme="0"/>
      <name val="Calibri"/>
      <family val="2"/>
    </font>
    <font>
      <b/>
      <sz val="12"/>
      <color theme="10"/>
      <name val="Calibri"/>
      <family val="2"/>
      <scheme val="minor"/>
    </font>
    <font>
      <sz val="16"/>
      <color theme="1"/>
      <name val="Arial"/>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40">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style="thin">
        <color auto="1"/>
      </right>
      <top style="thin">
        <color indexed="63"/>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 fillId="0" borderId="0"/>
  </cellStyleXfs>
  <cellXfs count="179">
    <xf numFmtId="0" fontId="0" fillId="0" borderId="0" xfId="0"/>
    <xf numFmtId="0" fontId="6" fillId="9" borderId="13" xfId="0" applyFont="1" applyFill="1" applyBorder="1" applyAlignment="1" applyProtection="1">
      <alignment vertical="center"/>
    </xf>
    <xf numFmtId="0" fontId="6" fillId="9" borderId="11" xfId="0" applyFont="1" applyFill="1" applyBorder="1" applyAlignment="1" applyProtection="1">
      <alignment vertical="center"/>
    </xf>
    <xf numFmtId="0" fontId="6" fillId="9" borderId="12" xfId="0" applyFont="1" applyFill="1" applyBorder="1" applyAlignment="1" applyProtection="1">
      <alignment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9" fillId="0" borderId="0" xfId="0" applyFont="1"/>
    <xf numFmtId="0" fontId="10" fillId="0" borderId="0" xfId="0" applyFont="1"/>
    <xf numFmtId="0" fontId="11" fillId="0" borderId="0" xfId="0" applyFont="1"/>
    <xf numFmtId="0" fontId="8" fillId="0" borderId="0" xfId="0" applyFont="1"/>
    <xf numFmtId="0" fontId="9" fillId="0" borderId="2" xfId="0" applyFont="1" applyBorder="1"/>
    <xf numFmtId="0" fontId="9" fillId="0" borderId="18" xfId="0" applyFont="1" applyBorder="1"/>
    <xf numFmtId="0" fontId="13" fillId="12" borderId="18" xfId="9" applyFont="1" applyFill="1" applyBorder="1" applyAlignment="1">
      <alignment vertical="center"/>
    </xf>
    <xf numFmtId="0" fontId="7" fillId="0" borderId="15" xfId="0" applyFont="1" applyBorder="1" applyAlignment="1" applyProtection="1">
      <alignment horizontal="left" vertical="center" wrapText="1"/>
      <protection locked="0"/>
    </xf>
    <xf numFmtId="0" fontId="8" fillId="11" borderId="0" xfId="0" applyFont="1" applyFill="1" applyBorder="1"/>
    <xf numFmtId="0" fontId="8" fillId="11" borderId="0" xfId="0" applyFont="1" applyFill="1" applyBorder="1" applyAlignment="1" applyProtection="1">
      <alignment horizontal="center" vertical="center"/>
    </xf>
    <xf numFmtId="0" fontId="7" fillId="11" borderId="0" xfId="0" applyFont="1" applyFill="1" applyBorder="1" applyAlignment="1">
      <alignment horizontal="center" vertical="center" wrapText="1"/>
    </xf>
    <xf numFmtId="9" fontId="8" fillId="11" borderId="0" xfId="0" applyNumberFormat="1" applyFont="1" applyFill="1" applyBorder="1" applyAlignment="1">
      <alignment horizontal="right" vertical="center" indent="1"/>
    </xf>
    <xf numFmtId="0" fontId="9" fillId="0" borderId="2" xfId="0" applyFont="1" applyBorder="1" applyAlignment="1">
      <alignment horizontal="center"/>
    </xf>
    <xf numFmtId="0" fontId="9" fillId="0" borderId="0" xfId="0" applyFont="1" applyBorder="1"/>
    <xf numFmtId="10" fontId="9" fillId="0" borderId="2" xfId="0" applyNumberFormat="1" applyFont="1" applyBorder="1"/>
    <xf numFmtId="0" fontId="12" fillId="13" borderId="0" xfId="0" applyFont="1" applyFill="1" applyBorder="1" applyAlignment="1">
      <alignment horizontal="center" vertical="center" wrapText="1"/>
    </xf>
    <xf numFmtId="0" fontId="8" fillId="11" borderId="0" xfId="0" applyFont="1" applyFill="1" applyBorder="1" applyAlignment="1">
      <alignment horizontal="left" wrapText="1"/>
    </xf>
    <xf numFmtId="0" fontId="6" fillId="9" borderId="16" xfId="0" applyFont="1" applyFill="1" applyBorder="1" applyAlignment="1" applyProtection="1">
      <alignment vertical="center"/>
    </xf>
    <xf numFmtId="0" fontId="16" fillId="0" borderId="0" xfId="0" applyFont="1"/>
    <xf numFmtId="0" fontId="17" fillId="5" borderId="0" xfId="0" applyFont="1" applyFill="1" applyBorder="1" applyAlignment="1">
      <alignment horizontal="center" vertical="center" wrapText="1"/>
    </xf>
    <xf numFmtId="0" fontId="17" fillId="7" borderId="0" xfId="0" applyFont="1" applyFill="1" applyBorder="1" applyAlignment="1">
      <alignment horizontal="center" vertical="center" wrapText="1"/>
    </xf>
    <xf numFmtId="0" fontId="18" fillId="2" borderId="34" xfId="0" applyFont="1" applyFill="1" applyBorder="1" applyAlignment="1">
      <alignment horizontal="center" vertical="center" wrapText="1"/>
    </xf>
    <xf numFmtId="0" fontId="18" fillId="2" borderId="32" xfId="0" applyFont="1" applyFill="1" applyBorder="1" applyAlignment="1">
      <alignment horizontal="center" vertical="center" wrapText="1"/>
    </xf>
    <xf numFmtId="0" fontId="19" fillId="3" borderId="35" xfId="0" applyFont="1" applyFill="1" applyBorder="1" applyAlignment="1">
      <alignment horizontal="center" vertical="center" wrapText="1"/>
    </xf>
    <xf numFmtId="0" fontId="19" fillId="3" borderId="0"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7" fillId="0" borderId="0" xfId="0" applyFont="1" applyBorder="1" applyAlignment="1">
      <alignment vertical="center" wrapText="1"/>
    </xf>
    <xf numFmtId="0" fontId="17" fillId="0" borderId="0" xfId="0" applyFont="1" applyBorder="1" applyAlignment="1">
      <alignment horizontal="center" vertical="center" wrapText="1"/>
    </xf>
    <xf numFmtId="0" fontId="20" fillId="3" borderId="35" xfId="0" applyFont="1" applyFill="1" applyBorder="1" applyAlignment="1">
      <alignment horizontal="center" vertical="center" wrapText="1"/>
    </xf>
    <xf numFmtId="0" fontId="20" fillId="3" borderId="0" xfId="0" applyFont="1" applyFill="1" applyBorder="1" applyAlignment="1">
      <alignment vertical="center" wrapText="1"/>
    </xf>
    <xf numFmtId="0" fontId="20" fillId="3" borderId="7" xfId="0" applyFont="1" applyFill="1" applyBorder="1" applyAlignment="1">
      <alignment vertical="center" wrapText="1"/>
    </xf>
    <xf numFmtId="0" fontId="18" fillId="2" borderId="21" xfId="0" applyFont="1" applyFill="1" applyBorder="1" applyAlignment="1">
      <alignment horizontal="center" vertical="center" wrapText="1"/>
    </xf>
    <xf numFmtId="0" fontId="18" fillId="2" borderId="20" xfId="0" applyFont="1" applyFill="1" applyBorder="1" applyAlignment="1">
      <alignment vertical="center" wrapText="1"/>
    </xf>
    <xf numFmtId="0" fontId="18" fillId="2" borderId="20" xfId="0" applyFont="1" applyFill="1" applyBorder="1" applyAlignment="1">
      <alignment horizontal="center" vertical="center" wrapText="1"/>
    </xf>
    <xf numFmtId="0" fontId="18" fillId="2" borderId="22" xfId="0" applyFont="1" applyFill="1" applyBorder="1" applyAlignment="1">
      <alignment horizontal="center" vertical="center" wrapText="1"/>
    </xf>
    <xf numFmtId="0" fontId="21" fillId="0" borderId="0" xfId="0" applyFont="1"/>
    <xf numFmtId="0" fontId="21" fillId="0" borderId="0" xfId="0" applyFont="1" applyAlignment="1">
      <alignment wrapText="1"/>
    </xf>
    <xf numFmtId="0" fontId="21" fillId="0" borderId="2" xfId="0" applyFont="1" applyBorder="1" applyAlignment="1">
      <alignment vertical="top" wrapText="1"/>
    </xf>
    <xf numFmtId="0" fontId="23" fillId="0" borderId="0" xfId="0" applyFont="1"/>
    <xf numFmtId="0" fontId="17" fillId="6" borderId="0" xfId="0" applyFont="1" applyFill="1" applyBorder="1" applyAlignment="1">
      <alignment horizontal="center" vertical="center" wrapText="1"/>
    </xf>
    <xf numFmtId="0" fontId="17" fillId="0" borderId="0" xfId="0" applyFont="1" applyFill="1" applyBorder="1" applyAlignment="1">
      <alignment vertical="center" wrapText="1"/>
    </xf>
    <xf numFmtId="0" fontId="20" fillId="3" borderId="0" xfId="0" applyFont="1" applyFill="1" applyBorder="1" applyAlignment="1">
      <alignment horizontal="center" vertical="center" wrapText="1"/>
    </xf>
    <xf numFmtId="0" fontId="18" fillId="4" borderId="35" xfId="0" applyFont="1" applyFill="1" applyBorder="1" applyAlignment="1">
      <alignment horizontal="center" wrapText="1"/>
    </xf>
    <xf numFmtId="0" fontId="17" fillId="0" borderId="0" xfId="0" applyFont="1" applyBorder="1" applyAlignment="1">
      <alignment wrapText="1"/>
    </xf>
    <xf numFmtId="0" fontId="25" fillId="0" borderId="0" xfId="9" applyFont="1" applyBorder="1" applyAlignment="1">
      <alignment horizontal="left" wrapText="1"/>
    </xf>
    <xf numFmtId="0" fontId="23" fillId="0" borderId="0" xfId="0" applyFont="1" applyAlignment="1">
      <alignment wrapText="1"/>
    </xf>
    <xf numFmtId="0" fontId="16" fillId="0" borderId="0" xfId="0" applyFont="1" applyAlignment="1">
      <alignment wrapText="1"/>
    </xf>
    <xf numFmtId="0" fontId="0" fillId="0" borderId="0" xfId="0" applyAlignment="1">
      <alignment wrapText="1"/>
    </xf>
    <xf numFmtId="0" fontId="8" fillId="0" borderId="12" xfId="0" applyFont="1" applyBorder="1" applyAlignment="1" applyProtection="1">
      <alignment vertical="center" wrapText="1"/>
      <protection locked="0"/>
    </xf>
    <xf numFmtId="0" fontId="23" fillId="0" borderId="2" xfId="0" applyFont="1" applyBorder="1"/>
    <xf numFmtId="0" fontId="23" fillId="0" borderId="2" xfId="0" applyFont="1" applyBorder="1" applyAlignment="1"/>
    <xf numFmtId="14" fontId="23" fillId="0" borderId="2" xfId="0" applyNumberFormat="1" applyFont="1" applyBorder="1"/>
    <xf numFmtId="0" fontId="28" fillId="0" borderId="2" xfId="0" applyFont="1" applyBorder="1"/>
    <xf numFmtId="0" fontId="24" fillId="0" borderId="2" xfId="0" applyFont="1" applyBorder="1"/>
    <xf numFmtId="0" fontId="0" fillId="0" borderId="2" xfId="0" applyBorder="1" applyAlignment="1">
      <alignment horizontal="center"/>
    </xf>
    <xf numFmtId="0" fontId="23" fillId="0" borderId="2" xfId="0" applyFont="1" applyBorder="1" applyAlignment="1">
      <alignment horizontal="center"/>
    </xf>
    <xf numFmtId="0" fontId="18" fillId="4" borderId="35" xfId="0" quotePrefix="1" applyFont="1" applyFill="1" applyBorder="1" applyAlignment="1">
      <alignment horizontal="center" vertical="center" wrapText="1"/>
    </xf>
    <xf numFmtId="0" fontId="17" fillId="0" borderId="7" xfId="0" applyFont="1" applyBorder="1" applyAlignment="1">
      <alignment vertical="center" wrapText="1"/>
    </xf>
    <xf numFmtId="0" fontId="23" fillId="0" borderId="2" xfId="0" quotePrefix="1" applyFont="1" applyBorder="1" applyAlignment="1">
      <alignment horizont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30" fillId="2" borderId="32" xfId="0" applyFont="1" applyFill="1" applyBorder="1" applyAlignment="1">
      <alignment vertical="center" wrapText="1"/>
    </xf>
    <xf numFmtId="0" fontId="31" fillId="3" borderId="0" xfId="0" applyFont="1" applyFill="1" applyBorder="1" applyAlignment="1">
      <alignment vertical="center" wrapText="1"/>
    </xf>
    <xf numFmtId="0" fontId="32" fillId="3" borderId="0" xfId="0" applyFont="1" applyFill="1" applyBorder="1" applyAlignment="1">
      <alignment vertical="center" wrapText="1"/>
    </xf>
    <xf numFmtId="0" fontId="30" fillId="2" borderId="34" xfId="0" applyFont="1" applyFill="1" applyBorder="1" applyAlignment="1">
      <alignment horizontal="center" vertical="center" wrapText="1"/>
    </xf>
    <xf numFmtId="0" fontId="33" fillId="0" borderId="0" xfId="0" applyFont="1"/>
    <xf numFmtId="0" fontId="34" fillId="0" borderId="0" xfId="0" applyFont="1" applyAlignment="1">
      <alignment horizontal="left"/>
    </xf>
    <xf numFmtId="0" fontId="30" fillId="2" borderId="1" xfId="0" applyFont="1" applyFill="1" applyBorder="1" applyAlignment="1">
      <alignment vertical="center" wrapText="1"/>
    </xf>
    <xf numFmtId="0" fontId="35" fillId="0" borderId="2" xfId="0" applyFont="1" applyBorder="1" applyAlignment="1">
      <alignment vertical="top" wrapText="1"/>
    </xf>
    <xf numFmtId="0" fontId="30" fillId="2" borderId="32" xfId="0" applyFont="1" applyFill="1" applyBorder="1" applyAlignment="1">
      <alignment horizontal="center" vertical="center" wrapText="1"/>
    </xf>
    <xf numFmtId="0" fontId="30" fillId="2" borderId="33" xfId="0" applyFont="1" applyFill="1" applyBorder="1" applyAlignment="1">
      <alignment horizontal="center" vertical="center" wrapText="1"/>
    </xf>
    <xf numFmtId="0" fontId="23" fillId="0" borderId="2" xfId="0" quotePrefix="1" applyFont="1" applyBorder="1" applyAlignment="1">
      <alignment horizontal="center" vertical="top"/>
    </xf>
    <xf numFmtId="14" fontId="23" fillId="0" borderId="2" xfId="0" applyNumberFormat="1" applyFont="1" applyBorder="1" applyAlignment="1">
      <alignment vertical="top"/>
    </xf>
    <xf numFmtId="49" fontId="23" fillId="0" borderId="2" xfId="0" applyNumberFormat="1" applyFont="1" applyBorder="1" applyAlignment="1">
      <alignment vertical="top" wrapText="1"/>
    </xf>
    <xf numFmtId="0" fontId="23" fillId="0" borderId="2" xfId="0" applyFont="1" applyBorder="1" applyAlignment="1">
      <alignment vertical="top"/>
    </xf>
    <xf numFmtId="0" fontId="6" fillId="9" borderId="3" xfId="0" applyFont="1" applyFill="1" applyBorder="1" applyAlignment="1" applyProtection="1">
      <alignment vertical="center"/>
    </xf>
    <xf numFmtId="0" fontId="6" fillId="9" borderId="4" xfId="0" applyFont="1" applyFill="1" applyBorder="1" applyAlignment="1" applyProtection="1">
      <alignment vertical="center"/>
    </xf>
    <xf numFmtId="0" fontId="3" fillId="0" borderId="15" xfId="9" applyBorder="1" applyAlignment="1">
      <alignment horizontal="left" vertical="center" wrapText="1"/>
    </xf>
    <xf numFmtId="0" fontId="6" fillId="9" borderId="37" xfId="0" applyFont="1" applyFill="1" applyBorder="1" applyAlignment="1" applyProtection="1">
      <alignment vertical="center"/>
    </xf>
    <xf numFmtId="0" fontId="6" fillId="0" borderId="10" xfId="0" applyFont="1" applyFill="1" applyBorder="1" applyAlignment="1" applyProtection="1">
      <alignment vertical="center"/>
    </xf>
    <xf numFmtId="0" fontId="6" fillId="0" borderId="36" xfId="0" applyFont="1" applyFill="1" applyBorder="1" applyAlignment="1" applyProtection="1">
      <alignment vertical="center"/>
    </xf>
    <xf numFmtId="0" fontId="3" fillId="0" borderId="36" xfId="9" applyFill="1" applyBorder="1" applyAlignment="1" applyProtection="1">
      <alignment vertical="center"/>
    </xf>
    <xf numFmtId="0" fontId="37" fillId="0" borderId="0" xfId="0" applyFont="1" applyAlignment="1">
      <alignment horizontal="left" vertical="center"/>
    </xf>
    <xf numFmtId="0" fontId="18" fillId="4" borderId="35" xfId="0" quotePrefix="1" applyFont="1" applyFill="1" applyBorder="1" applyAlignment="1">
      <alignment horizontal="center" wrapText="1"/>
    </xf>
    <xf numFmtId="0" fontId="18" fillId="4" borderId="0" xfId="0" quotePrefix="1" applyFont="1" applyFill="1" applyBorder="1" applyAlignment="1">
      <alignment horizontal="center" vertical="center" wrapText="1"/>
    </xf>
    <xf numFmtId="0" fontId="18" fillId="4" borderId="0" xfId="0" applyFont="1" applyFill="1" applyBorder="1" applyAlignment="1">
      <alignment horizontal="center" wrapText="1"/>
    </xf>
    <xf numFmtId="0" fontId="18" fillId="4" borderId="0" xfId="0" quotePrefix="1" applyFont="1" applyFill="1" applyBorder="1" applyAlignment="1">
      <alignment horizontal="center" wrapText="1"/>
    </xf>
    <xf numFmtId="0" fontId="21" fillId="0" borderId="38" xfId="0" applyFont="1" applyBorder="1" applyAlignment="1">
      <alignment vertical="top" wrapText="1"/>
    </xf>
    <xf numFmtId="0" fontId="3" fillId="0" borderId="7" xfId="9" applyBorder="1" applyAlignment="1">
      <alignment vertical="center" wrapText="1"/>
    </xf>
    <xf numFmtId="14" fontId="23" fillId="0" borderId="39" xfId="0" applyNumberFormat="1" applyFont="1" applyBorder="1" applyAlignment="1">
      <alignment vertical="top"/>
    </xf>
    <xf numFmtId="0" fontId="23" fillId="0" borderId="39" xfId="0" quotePrefix="1" applyFont="1" applyBorder="1" applyAlignment="1">
      <alignment horizontal="center" vertical="top"/>
    </xf>
    <xf numFmtId="0" fontId="23" fillId="0" borderId="39" xfId="0" applyFont="1" applyBorder="1" applyAlignment="1">
      <alignment vertical="top"/>
    </xf>
    <xf numFmtId="0" fontId="0" fillId="0" borderId="38" xfId="0" applyBorder="1" applyAlignment="1">
      <alignment horizontal="center"/>
    </xf>
    <xf numFmtId="14" fontId="0" fillId="0" borderId="38" xfId="0" applyNumberFormat="1" applyBorder="1"/>
    <xf numFmtId="0" fontId="0" fillId="0" borderId="38" xfId="0" applyBorder="1" applyAlignment="1">
      <alignment wrapText="1"/>
    </xf>
    <xf numFmtId="0" fontId="23" fillId="0" borderId="38" xfId="0" applyFont="1" applyBorder="1" applyAlignment="1">
      <alignment vertical="top"/>
    </xf>
    <xf numFmtId="0" fontId="22" fillId="0" borderId="0" xfId="0" applyFont="1" applyAlignment="1">
      <alignment horizontal="left" vertical="top"/>
    </xf>
    <xf numFmtId="0" fontId="19" fillId="3" borderId="7" xfId="0" applyFont="1" applyFill="1" applyBorder="1" applyAlignment="1">
      <alignment horizontal="center" vertical="center" wrapText="1"/>
    </xf>
    <xf numFmtId="0" fontId="3" fillId="0" borderId="0" xfId="9" applyAlignment="1">
      <alignment horizontal="left"/>
    </xf>
    <xf numFmtId="0" fontId="3" fillId="0" borderId="35" xfId="9" applyBorder="1" applyAlignment="1">
      <alignment horizontal="left"/>
    </xf>
    <xf numFmtId="0" fontId="20" fillId="3" borderId="0" xfId="0" applyFont="1" applyFill="1" applyAlignment="1">
      <alignment vertical="center" wrapText="1"/>
    </xf>
    <xf numFmtId="0" fontId="3" fillId="0" borderId="0" xfId="9" quotePrefix="1" applyAlignment="1">
      <alignment wrapText="1"/>
    </xf>
    <xf numFmtId="0" fontId="3" fillId="0" borderId="0" xfId="9" applyAlignment="1">
      <alignment wrapText="1"/>
    </xf>
    <xf numFmtId="0" fontId="3" fillId="0" borderId="0" xfId="9"/>
    <xf numFmtId="0" fontId="3" fillId="0" borderId="0" xfId="9" applyAlignment="1">
      <alignment vertical="center"/>
    </xf>
    <xf numFmtId="0" fontId="3" fillId="0" borderId="0" xfId="9" applyAlignment="1">
      <alignment horizontal="left" wrapText="1"/>
    </xf>
    <xf numFmtId="0" fontId="1" fillId="0" borderId="0" xfId="0" applyFont="1"/>
    <xf numFmtId="0" fontId="25" fillId="0" borderId="0" xfId="9" applyFont="1" applyAlignment="1">
      <alignment horizontal="left" wrapText="1"/>
    </xf>
    <xf numFmtId="0" fontId="38" fillId="2" borderId="38" xfId="0" applyFont="1" applyFill="1" applyBorder="1" applyAlignment="1">
      <alignment horizontal="center" vertical="center" wrapText="1"/>
    </xf>
    <xf numFmtId="0" fontId="20" fillId="3" borderId="38" xfId="0" applyFont="1" applyFill="1" applyBorder="1" applyAlignment="1">
      <alignment vertical="center" wrapText="1"/>
    </xf>
    <xf numFmtId="0" fontId="3" fillId="0" borderId="38" xfId="9" applyBorder="1"/>
    <xf numFmtId="0" fontId="3" fillId="0" borderId="38" xfId="9" applyBorder="1" applyAlignment="1">
      <alignment wrapText="1"/>
    </xf>
    <xf numFmtId="0" fontId="39" fillId="11" borderId="38" xfId="9" applyFont="1" applyFill="1" applyBorder="1" applyAlignment="1">
      <alignment horizontal="center" wrapText="1"/>
    </xf>
    <xf numFmtId="0" fontId="39" fillId="0" borderId="38" xfId="9" applyFont="1" applyBorder="1" applyAlignment="1">
      <alignment horizontal="center" wrapText="1"/>
    </xf>
    <xf numFmtId="0" fontId="18" fillId="2" borderId="38" xfId="0" applyFont="1" applyFill="1" applyBorder="1" applyAlignment="1">
      <alignment horizontal="center" vertical="center" wrapText="1"/>
    </xf>
    <xf numFmtId="0" fontId="28" fillId="0" borderId="38" xfId="0" applyFont="1" applyBorder="1" applyAlignment="1">
      <alignment horizontal="center"/>
    </xf>
    <xf numFmtId="0" fontId="28" fillId="0" borderId="0" xfId="0" applyFont="1" applyAlignment="1">
      <alignment horizontal="center"/>
    </xf>
    <xf numFmtId="0" fontId="3" fillId="0" borderId="38" xfId="9" applyBorder="1" applyAlignment="1">
      <alignment horizontal="left" wrapText="1"/>
    </xf>
    <xf numFmtId="14" fontId="7" fillId="0" borderId="15" xfId="0" applyNumberFormat="1" applyFont="1" applyBorder="1" applyAlignment="1" applyProtection="1">
      <alignment horizontal="left" vertical="center" wrapText="1"/>
      <protection locked="0"/>
    </xf>
    <xf numFmtId="164" fontId="8" fillId="0" borderId="12" xfId="0" applyNumberFormat="1" applyFont="1" applyBorder="1" applyAlignment="1" applyProtection="1">
      <alignment horizontal="left" vertical="center" wrapText="1"/>
      <protection locked="0"/>
    </xf>
    <xf numFmtId="0" fontId="3" fillId="0" borderId="12" xfId="9" applyBorder="1" applyAlignment="1" applyProtection="1">
      <alignment vertical="center" wrapText="1"/>
      <protection locked="0"/>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6" fillId="0" borderId="13" xfId="0" applyFont="1" applyBorder="1" applyAlignment="1" applyProtection="1">
      <alignment horizontal="left" vertical="center"/>
    </xf>
    <xf numFmtId="0" fontId="6" fillId="0" borderId="14" xfId="0" applyFont="1" applyBorder="1" applyAlignment="1" applyProtection="1">
      <alignment horizontal="left" vertical="center"/>
    </xf>
    <xf numFmtId="0" fontId="26" fillId="8" borderId="3" xfId="0" applyFont="1" applyFill="1" applyBorder="1" applyAlignment="1" applyProtection="1">
      <alignment horizontal="left" vertical="top" wrapText="1"/>
    </xf>
    <xf numFmtId="0" fontId="26" fillId="8" borderId="4" xfId="0" applyFont="1" applyFill="1" applyBorder="1" applyAlignment="1" applyProtection="1">
      <alignment horizontal="left" vertical="top"/>
    </xf>
    <xf numFmtId="0" fontId="26" fillId="8" borderId="5" xfId="0" applyFont="1" applyFill="1" applyBorder="1" applyAlignment="1" applyProtection="1">
      <alignment horizontal="left" vertical="top"/>
    </xf>
    <xf numFmtId="0" fontId="26" fillId="8" borderId="6" xfId="0" applyFont="1" applyFill="1" applyBorder="1" applyAlignment="1" applyProtection="1">
      <alignment horizontal="left" vertical="top"/>
    </xf>
    <xf numFmtId="0" fontId="26" fillId="8" borderId="0" xfId="0" applyFont="1" applyFill="1" applyBorder="1" applyAlignment="1" applyProtection="1">
      <alignment horizontal="left" vertical="top"/>
    </xf>
    <xf numFmtId="0" fontId="26" fillId="8" borderId="7" xfId="0" applyFont="1" applyFill="1" applyBorder="1" applyAlignment="1" applyProtection="1">
      <alignment horizontal="left" vertical="top"/>
    </xf>
    <xf numFmtId="0" fontId="26" fillId="8" borderId="8" xfId="0" applyFont="1" applyFill="1" applyBorder="1" applyAlignment="1" applyProtection="1">
      <alignment horizontal="left" vertical="top"/>
    </xf>
    <xf numFmtId="0" fontId="26" fillId="8" borderId="9" xfId="0" applyFont="1" applyFill="1" applyBorder="1" applyAlignment="1" applyProtection="1">
      <alignment horizontal="left" vertical="top"/>
    </xf>
    <xf numFmtId="0" fontId="26" fillId="8" borderId="10" xfId="0" applyFont="1" applyFill="1" applyBorder="1" applyAlignment="1" applyProtection="1">
      <alignment horizontal="left" vertical="top"/>
    </xf>
    <xf numFmtId="0" fontId="5" fillId="0" borderId="11" xfId="0" quotePrefix="1" applyFont="1" applyBorder="1" applyAlignment="1" applyProtection="1">
      <alignment horizontal="center"/>
    </xf>
    <xf numFmtId="0" fontId="5" fillId="0" borderId="11" xfId="0" applyFont="1" applyBorder="1" applyAlignment="1" applyProtection="1">
      <alignment horizontal="center"/>
    </xf>
    <xf numFmtId="0" fontId="5" fillId="0" borderId="12" xfId="0" applyFont="1" applyBorder="1" applyAlignment="1" applyProtection="1">
      <alignment horizontal="center"/>
    </xf>
    <xf numFmtId="0" fontId="6" fillId="0" borderId="8" xfId="0" applyFont="1" applyFill="1" applyBorder="1" applyAlignment="1" applyProtection="1">
      <alignment horizontal="left" vertical="center" wrapText="1"/>
    </xf>
    <xf numFmtId="0" fontId="6" fillId="0" borderId="9" xfId="0" applyFont="1" applyFill="1" applyBorder="1" applyAlignment="1" applyProtection="1">
      <alignment horizontal="left" vertical="center"/>
    </xf>
    <xf numFmtId="0" fontId="6" fillId="0" borderId="12" xfId="0" applyFont="1" applyFill="1" applyBorder="1" applyAlignment="1" applyProtection="1">
      <alignment horizontal="left" vertical="center"/>
    </xf>
    <xf numFmtId="0" fontId="6" fillId="0" borderId="2" xfId="0" applyFont="1" applyFill="1" applyBorder="1" applyAlignment="1" applyProtection="1">
      <alignment horizontal="center" vertical="center"/>
    </xf>
    <xf numFmtId="0" fontId="6" fillId="0" borderId="36" xfId="0" applyFont="1" applyFill="1" applyBorder="1" applyAlignment="1" applyProtection="1">
      <alignment horizontal="left" vertical="center"/>
    </xf>
    <xf numFmtId="0" fontId="6" fillId="0" borderId="2" xfId="0" applyFont="1" applyFill="1" applyBorder="1" applyAlignment="1" applyProtection="1">
      <alignment horizontal="left" vertical="center"/>
    </xf>
    <xf numFmtId="0" fontId="5" fillId="10" borderId="13" xfId="0" applyFont="1" applyFill="1" applyBorder="1" applyAlignment="1" applyProtection="1">
      <alignment horizontal="center" vertical="center"/>
    </xf>
    <xf numFmtId="0" fontId="5" fillId="10" borderId="11" xfId="0" applyFont="1" applyFill="1" applyBorder="1" applyAlignment="1" applyProtection="1">
      <alignment horizontal="center" vertical="center"/>
    </xf>
    <xf numFmtId="0" fontId="5" fillId="10" borderId="12" xfId="0" applyFont="1" applyFill="1" applyBorder="1" applyAlignment="1" applyProtection="1">
      <alignment horizontal="center" vertical="center"/>
    </xf>
    <xf numFmtId="0" fontId="6" fillId="0" borderId="12" xfId="0" applyFont="1" applyBorder="1" applyAlignment="1" applyProtection="1">
      <alignment horizontal="left" vertical="center"/>
    </xf>
    <xf numFmtId="0" fontId="13" fillId="12" borderId="21" xfId="9" applyFont="1" applyFill="1" applyBorder="1" applyAlignment="1">
      <alignment horizontal="center" vertical="center"/>
    </xf>
    <xf numFmtId="0" fontId="13" fillId="12" borderId="20" xfId="9" applyFont="1" applyFill="1" applyBorder="1" applyAlignment="1">
      <alignment horizontal="center" vertical="center"/>
    </xf>
    <xf numFmtId="0" fontId="13" fillId="12" borderId="22" xfId="9" applyFont="1" applyFill="1" applyBorder="1" applyAlignment="1">
      <alignment horizontal="center" vertical="center"/>
    </xf>
    <xf numFmtId="0" fontId="8" fillId="0" borderId="0" xfId="0" applyFont="1"/>
    <xf numFmtId="1" fontId="15" fillId="0" borderId="23" xfId="0" applyNumberFormat="1" applyFont="1" applyBorder="1" applyAlignment="1">
      <alignment horizontal="center" vertical="center"/>
    </xf>
    <xf numFmtId="1" fontId="15" fillId="0" borderId="19" xfId="0" applyNumberFormat="1" applyFont="1" applyBorder="1" applyAlignment="1">
      <alignment horizontal="center" vertical="center"/>
    </xf>
    <xf numFmtId="1" fontId="15" fillId="0" borderId="24" xfId="0" applyNumberFormat="1" applyFont="1" applyBorder="1" applyAlignment="1">
      <alignment horizontal="center" vertical="center"/>
    </xf>
    <xf numFmtId="1" fontId="15" fillId="0" borderId="25" xfId="0" applyNumberFormat="1" applyFont="1" applyBorder="1" applyAlignment="1">
      <alignment horizontal="center" vertical="center"/>
    </xf>
    <xf numFmtId="1" fontId="15" fillId="0" borderId="0" xfId="0" applyNumberFormat="1" applyFont="1" applyBorder="1" applyAlignment="1">
      <alignment horizontal="center" vertical="center"/>
    </xf>
    <xf numFmtId="1" fontId="15" fillId="0" borderId="26" xfId="0" applyNumberFormat="1" applyFont="1" applyBorder="1" applyAlignment="1">
      <alignment horizontal="center" vertical="center"/>
    </xf>
    <xf numFmtId="1" fontId="15" fillId="0" borderId="27" xfId="0" applyNumberFormat="1" applyFont="1" applyBorder="1" applyAlignment="1">
      <alignment horizontal="center" vertical="center"/>
    </xf>
    <xf numFmtId="1" fontId="15" fillId="0" borderId="28" xfId="0" applyNumberFormat="1" applyFont="1" applyBorder="1" applyAlignment="1">
      <alignment horizontal="center" vertical="center"/>
    </xf>
    <xf numFmtId="1" fontId="15" fillId="0" borderId="29" xfId="0" applyNumberFormat="1" applyFont="1" applyBorder="1" applyAlignment="1">
      <alignment horizontal="center" vertical="center"/>
    </xf>
    <xf numFmtId="0" fontId="14" fillId="0" borderId="30" xfId="0" applyFont="1" applyBorder="1" applyAlignment="1">
      <alignment horizontal="center"/>
    </xf>
    <xf numFmtId="0" fontId="14" fillId="0" borderId="31" xfId="0" applyFont="1" applyBorder="1" applyAlignment="1">
      <alignment horizontal="center"/>
    </xf>
    <xf numFmtId="0" fontId="14" fillId="0" borderId="17" xfId="0" applyFont="1" applyBorder="1" applyAlignment="1">
      <alignment horizontal="center"/>
    </xf>
    <xf numFmtId="0" fontId="40" fillId="0" borderId="0" xfId="0" applyFont="1" applyBorder="1" applyAlignment="1">
      <alignment horizontal="right"/>
    </xf>
    <xf numFmtId="0" fontId="40" fillId="0" borderId="26" xfId="0" applyFont="1" applyBorder="1" applyAlignment="1">
      <alignment horizontal="right"/>
    </xf>
    <xf numFmtId="0" fontId="12" fillId="13" borderId="0" xfId="0" applyFont="1" applyFill="1" applyBorder="1" applyAlignment="1">
      <alignment horizontal="center" vertical="center" wrapText="1"/>
    </xf>
    <xf numFmtId="0" fontId="33" fillId="0" borderId="0" xfId="0" applyFont="1" applyAlignment="1">
      <alignment horizontal="left" vertical="top"/>
    </xf>
    <xf numFmtId="0" fontId="22" fillId="0" borderId="0" xfId="0" applyFont="1" applyAlignment="1">
      <alignment horizontal="left" vertical="top"/>
    </xf>
    <xf numFmtId="0" fontId="19" fillId="3" borderId="0"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30" fillId="2" borderId="32" xfId="0" applyFont="1" applyFill="1" applyBorder="1" applyAlignment="1">
      <alignment horizontal="center" vertical="center" wrapText="1"/>
    </xf>
    <xf numFmtId="0" fontId="30" fillId="2" borderId="33" xfId="0" applyFont="1" applyFill="1" applyBorder="1" applyAlignment="1">
      <alignment horizontal="center" vertical="center" wrapText="1"/>
    </xf>
    <xf numFmtId="0" fontId="29" fillId="0" borderId="20" xfId="0" applyFont="1" applyBorder="1" applyAlignment="1">
      <alignment horizontal="left"/>
    </xf>
  </cellXfs>
  <cellStyles count="63">
    <cellStyle name="Hipervínculo" xfId="1" builtinId="8" hidden="1"/>
    <cellStyle name="Hipervínculo" xfId="3" builtinId="8" hidden="1"/>
    <cellStyle name="Hipervínculo" xfId="5" builtinId="8" hidden="1"/>
    <cellStyle name="Hipervínculo" xfId="7" builtinId="8" hidden="1"/>
    <cellStyle name="Hipervínculo" xfId="9"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1" builtinId="9" hidden="1"/>
    <cellStyle name="Hipervínculo visitado" xfId="12" builtinId="9" hidden="1"/>
    <cellStyle name="Hipervínculo visitado" xfId="13" builtinId="9" hidden="1"/>
    <cellStyle name="Hipervínculo visitado" xfId="14" builtinId="9" hidden="1"/>
    <cellStyle name="Hipervínculo visitado" xfId="15" builtinId="9" hidden="1"/>
    <cellStyle name="Hipervínculo visitado" xfId="16" builtinId="9" hidden="1"/>
    <cellStyle name="Hipervínculo visitado" xfId="17" builtinId="9" hidden="1"/>
    <cellStyle name="Hipervínculo visitado" xfId="18" builtinId="9" hidden="1"/>
    <cellStyle name="Hipervínculo visitado" xfId="19" builtinId="9" hidden="1"/>
    <cellStyle name="Hipervínculo visitado" xfId="20" builtinId="9" hidden="1"/>
    <cellStyle name="Hipervínculo visitado" xfId="21" builtinId="9" hidden="1"/>
    <cellStyle name="Hipervínculo visitado" xfId="22" builtinId="9" hidden="1"/>
    <cellStyle name="Hipervínculo visitado" xfId="23" builtinId="9" hidden="1"/>
    <cellStyle name="Hipervínculo visitado" xfId="24" builtinId="9" hidden="1"/>
    <cellStyle name="Hipervínculo visitado" xfId="25" builtinId="9" hidden="1"/>
    <cellStyle name="Hipervínculo visitado" xfId="26" builtinId="9" hidden="1"/>
    <cellStyle name="Hipervínculo visitado" xfId="27" builtinId="9" hidden="1"/>
    <cellStyle name="Hipervínculo visitado" xfId="28" builtinId="9" hidden="1"/>
    <cellStyle name="Hipervínculo visitado" xfId="29" builtinId="9" hidden="1"/>
    <cellStyle name="Hipervínculo visitado" xfId="30" builtinId="9" hidden="1"/>
    <cellStyle name="Hipervínculo visitado" xfId="31" builtinId="9" hidden="1"/>
    <cellStyle name="Hipervínculo visitado" xfId="32" builtinId="9" hidden="1"/>
    <cellStyle name="Hipervínculo visitado" xfId="33" builtinId="9" hidden="1"/>
    <cellStyle name="Hipervínculo visitado" xfId="34" builtinId="9" hidden="1"/>
    <cellStyle name="Hipervínculo visitado" xfId="35" builtinId="9" hidden="1"/>
    <cellStyle name="Hipervínculo visitado" xfId="36" builtinId="9" hidden="1"/>
    <cellStyle name="Hipervínculo visitado" xfId="37" builtinId="9" hidden="1"/>
    <cellStyle name="Hipervínculo visitado" xfId="38" builtinId="9" hidden="1"/>
    <cellStyle name="Hipervínculo visitado" xfId="39" builtinId="9" hidden="1"/>
    <cellStyle name="Hipervínculo visitado" xfId="40" builtinId="9" hidden="1"/>
    <cellStyle name="Hipervínculo visitado" xfId="41" builtinId="9" hidden="1"/>
    <cellStyle name="Hipervínculo visitado" xfId="42" builtinId="9" hidden="1"/>
    <cellStyle name="Hipervínculo visitado" xfId="43" builtinId="9" hidden="1"/>
    <cellStyle name="Hipervínculo visitado" xfId="44" builtinId="9" hidden="1"/>
    <cellStyle name="Hipervínculo visitado" xfId="45" builtinId="9" hidden="1"/>
    <cellStyle name="Hipervínculo visitado" xfId="46" builtinId="9" hidden="1"/>
    <cellStyle name="Hipervínculo visitado" xfId="47" builtinId="9" hidden="1"/>
    <cellStyle name="Hipervínculo visitado" xfId="48" builtinId="9" hidden="1"/>
    <cellStyle name="Hipervínculo visitado" xfId="49"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Hipervínculo visitado" xfId="60" builtinId="9" hidden="1"/>
    <cellStyle name="Hipervínculo visitado" xfId="61" builtinId="9" hidden="1"/>
    <cellStyle name="Normal" xfId="0" builtinId="0"/>
    <cellStyle name="Normal 2" xfId="62" xr:uid="{00000000-0005-0000-0000-00003E000000}"/>
  </cellStyles>
  <dxfs count="11">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Summary'!$G$43:$G$50</c:f>
              <c:numCache>
                <c:formatCode>0.00%</c:formatCode>
                <c:ptCount val="8"/>
                <c:pt idx="0">
                  <c:v>0</c:v>
                </c:pt>
                <c:pt idx="1">
                  <c:v>0.5</c:v>
                </c:pt>
                <c:pt idx="2">
                  <c:v>0.6</c:v>
                </c:pt>
                <c:pt idx="3">
                  <c:v>0.8571428571428571</c:v>
                </c:pt>
                <c:pt idx="4">
                  <c:v>1</c:v>
                </c:pt>
                <c:pt idx="5">
                  <c:v>0.8</c:v>
                </c:pt>
                <c:pt idx="6">
                  <c:v>1</c:v>
                </c:pt>
                <c:pt idx="7">
                  <c:v>0.45454545454545453</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s-EC"/>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s-EC"/>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s-EC"/>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s-EC"/>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s-EC"/>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s-EC"/>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s-EC"/>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s-EC"/>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6617056</xdr:colOff>
      <xdr:row>5</xdr:row>
      <xdr:rowOff>45543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55212</xdr:rowOff>
    </xdr:from>
    <xdr:to>
      <xdr:col>9</xdr:col>
      <xdr:colOff>246498</xdr:colOff>
      <xdr:row>39</xdr:row>
      <xdr:rowOff>111413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178716</xdr:colOff>
      <xdr:row>11</xdr:row>
      <xdr:rowOff>68548</xdr:rowOff>
    </xdr:from>
    <xdr:to>
      <xdr:col>24</xdr:col>
      <xdr:colOff>315381</xdr:colOff>
      <xdr:row>38</xdr:row>
      <xdr:rowOff>83124</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maarmas@pichincha.com" TargetMode="External"/><Relationship Id="rId1" Type="http://schemas.openxmlformats.org/officeDocument/2006/relationships/hyperlink" Target="mailto:gpsalaza@pichincha.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zoomScale="120" zoomScaleNormal="120" zoomScalePageLayoutView="120" workbookViewId="0">
      <selection activeCell="D40" sqref="D40"/>
    </sheetView>
  </sheetViews>
  <sheetFormatPr baseColWidth="10" defaultColWidth="8.75" defaultRowHeight="15.5"/>
  <cols>
    <col min="1" max="1" width="2.25" customWidth="1"/>
    <col min="3" max="3" width="13.75" customWidth="1"/>
    <col min="4" max="4" width="92.5" customWidth="1"/>
  </cols>
  <sheetData>
    <row r="1" spans="2:4" ht="7.9" customHeight="1"/>
    <row r="2" spans="2:4">
      <c r="B2" s="131" t="s">
        <v>190</v>
      </c>
      <c r="C2" s="132"/>
      <c r="D2" s="133"/>
    </row>
    <row r="3" spans="2:4">
      <c r="B3" s="134"/>
      <c r="C3" s="135"/>
      <c r="D3" s="136"/>
    </row>
    <row r="4" spans="2:4">
      <c r="B4" s="134"/>
      <c r="C4" s="135"/>
      <c r="D4" s="136"/>
    </row>
    <row r="5" spans="2:4">
      <c r="B5" s="134"/>
      <c r="C5" s="135"/>
      <c r="D5" s="136"/>
    </row>
    <row r="6" spans="2:4">
      <c r="B6" s="134"/>
      <c r="C6" s="135"/>
      <c r="D6" s="136"/>
    </row>
    <row r="7" spans="2:4">
      <c r="B7" s="134"/>
      <c r="C7" s="135"/>
      <c r="D7" s="136"/>
    </row>
    <row r="8" spans="2:4" hidden="1">
      <c r="B8" s="137"/>
      <c r="C8" s="138"/>
      <c r="D8" s="139"/>
    </row>
    <row r="9" spans="2:4">
      <c r="B9" s="140" t="s">
        <v>69</v>
      </c>
      <c r="C9" s="141"/>
      <c r="D9" s="142"/>
    </row>
    <row r="10" spans="2:4">
      <c r="B10" s="81" t="s">
        <v>191</v>
      </c>
      <c r="C10" s="82"/>
      <c r="D10" s="84"/>
    </row>
    <row r="11" spans="2:4">
      <c r="B11" s="147" t="s">
        <v>229</v>
      </c>
      <c r="C11" s="147"/>
      <c r="D11" s="86" t="s">
        <v>233</v>
      </c>
    </row>
    <row r="12" spans="2:4">
      <c r="B12" s="148" t="s">
        <v>234</v>
      </c>
      <c r="C12" s="148"/>
      <c r="D12" s="87" t="str">
        <f>HYPERLINK(CONCATENATE(
"https://github.com/OWASP/owasp-masvs/blob/",
MASVS_VERSION,
"/Document/"))</f>
        <v>https://github.com/OWASP/owasp-masvs/blob/1.1.4/Document/</v>
      </c>
    </row>
    <row r="13" spans="2:4">
      <c r="B13" s="147" t="s">
        <v>229</v>
      </c>
      <c r="C13" s="147"/>
      <c r="D13" s="85" t="s">
        <v>346</v>
      </c>
    </row>
    <row r="14" spans="2:4">
      <c r="B14" s="146" t="s">
        <v>228</v>
      </c>
      <c r="C14" s="146"/>
      <c r="D14" s="83" t="str">
        <f>HYPERLINK(CONCATENATE(
"https://github.com/OWASP/owasp-mstg/blob/",
MSTG_VERSION,
"/Document/"))</f>
        <v>https://github.com/OWASP/owasp-mstg/blob/1.1.3/Document/</v>
      </c>
    </row>
    <row r="15" spans="2:4" ht="40.15" customHeight="1">
      <c r="B15" s="143" t="s">
        <v>230</v>
      </c>
      <c r="C15" s="144"/>
      <c r="D15" s="145"/>
    </row>
    <row r="16" spans="2:4">
      <c r="B16" s="127" t="s">
        <v>192</v>
      </c>
      <c r="C16" s="128"/>
      <c r="D16" s="13" t="s">
        <v>349</v>
      </c>
    </row>
    <row r="17" spans="2:4">
      <c r="B17" s="129" t="s">
        <v>193</v>
      </c>
      <c r="C17" s="130"/>
      <c r="D17" s="13" t="s">
        <v>64</v>
      </c>
    </row>
    <row r="18" spans="2:4">
      <c r="B18" s="127" t="s">
        <v>194</v>
      </c>
      <c r="C18" s="128"/>
      <c r="D18" s="124">
        <v>44588</v>
      </c>
    </row>
    <row r="19" spans="2:4">
      <c r="B19" s="127" t="s">
        <v>195</v>
      </c>
      <c r="C19" s="128"/>
      <c r="D19" s="124">
        <v>44596</v>
      </c>
    </row>
    <row r="20" spans="2:4">
      <c r="B20" s="127" t="s">
        <v>196</v>
      </c>
      <c r="C20" s="128"/>
      <c r="D20" s="13" t="s">
        <v>351</v>
      </c>
    </row>
    <row r="21" spans="2:4">
      <c r="B21" s="127" t="s">
        <v>197</v>
      </c>
      <c r="C21" s="128"/>
      <c r="D21" s="13" t="s">
        <v>352</v>
      </c>
    </row>
    <row r="22" spans="2:4" ht="70.5" customHeight="1">
      <c r="B22" s="127" t="s">
        <v>198</v>
      </c>
      <c r="C22" s="128"/>
      <c r="D22" s="13" t="s">
        <v>199</v>
      </c>
    </row>
    <row r="23" spans="2:4">
      <c r="B23" s="141"/>
      <c r="C23" s="141"/>
      <c r="D23" s="142"/>
    </row>
    <row r="24" spans="2:4">
      <c r="B24" s="1" t="s">
        <v>200</v>
      </c>
      <c r="C24" s="2"/>
      <c r="D24" s="3"/>
    </row>
    <row r="25" spans="2:4">
      <c r="B25" s="4" t="s">
        <v>201</v>
      </c>
      <c r="C25" s="5"/>
      <c r="D25" s="13" t="s">
        <v>353</v>
      </c>
    </row>
    <row r="26" spans="2:4">
      <c r="B26" s="127" t="s">
        <v>202</v>
      </c>
      <c r="C26" s="128"/>
      <c r="D26" s="13" t="s">
        <v>64</v>
      </c>
    </row>
    <row r="27" spans="2:4">
      <c r="B27" s="127" t="s">
        <v>203</v>
      </c>
      <c r="C27" s="128"/>
      <c r="D27" s="13" t="s">
        <v>354</v>
      </c>
    </row>
    <row r="28" spans="2:4">
      <c r="B28" s="127" t="s">
        <v>204</v>
      </c>
      <c r="C28" s="128"/>
      <c r="D28" s="13" t="s">
        <v>355</v>
      </c>
    </row>
    <row r="29" spans="2:4">
      <c r="B29" s="127" t="s">
        <v>206</v>
      </c>
      <c r="C29" s="128"/>
      <c r="D29" s="13" t="s">
        <v>350</v>
      </c>
    </row>
    <row r="30" spans="2:4">
      <c r="B30" s="141"/>
      <c r="C30" s="141"/>
      <c r="D30" s="142"/>
    </row>
    <row r="31" spans="2:4">
      <c r="B31" s="1" t="s">
        <v>66</v>
      </c>
      <c r="C31" s="2"/>
      <c r="D31" s="3"/>
    </row>
    <row r="32" spans="2:4">
      <c r="B32" s="65" t="s">
        <v>201</v>
      </c>
      <c r="C32" s="66"/>
      <c r="D32" s="13" t="s">
        <v>64</v>
      </c>
    </row>
    <row r="33" spans="2:4">
      <c r="B33" s="127" t="s">
        <v>205</v>
      </c>
      <c r="C33" s="128"/>
      <c r="D33" s="13" t="s">
        <v>64</v>
      </c>
    </row>
    <row r="34" spans="2:4">
      <c r="B34" s="127" t="s">
        <v>203</v>
      </c>
      <c r="C34" s="128"/>
      <c r="D34" s="13" t="s">
        <v>64</v>
      </c>
    </row>
    <row r="35" spans="2:4">
      <c r="B35" s="127" t="s">
        <v>204</v>
      </c>
      <c r="C35" s="128"/>
      <c r="D35" s="13" t="s">
        <v>64</v>
      </c>
    </row>
    <row r="36" spans="2:4">
      <c r="B36" s="127" t="s">
        <v>207</v>
      </c>
      <c r="C36" s="128"/>
      <c r="D36" s="13" t="s">
        <v>64</v>
      </c>
    </row>
    <row r="37" spans="2:4">
      <c r="B37" s="141"/>
      <c r="C37" s="141"/>
      <c r="D37" s="142"/>
    </row>
    <row r="38" spans="2:4">
      <c r="B38" s="1" t="s">
        <v>208</v>
      </c>
      <c r="C38" s="2"/>
      <c r="D38" s="3"/>
    </row>
    <row r="39" spans="2:4">
      <c r="B39" s="149"/>
      <c r="C39" s="150"/>
      <c r="D39" s="151"/>
    </row>
    <row r="40" spans="2:4">
      <c r="B40" s="129" t="s">
        <v>209</v>
      </c>
      <c r="C40" s="152"/>
      <c r="D40" s="54" t="s">
        <v>356</v>
      </c>
    </row>
    <row r="41" spans="2:4">
      <c r="B41" s="129" t="s">
        <v>210</v>
      </c>
      <c r="C41" s="152"/>
      <c r="D41" s="54" t="s">
        <v>349</v>
      </c>
    </row>
    <row r="42" spans="2:4">
      <c r="B42" s="129" t="s">
        <v>211</v>
      </c>
      <c r="C42" s="152"/>
      <c r="D42" s="54" t="s">
        <v>357</v>
      </c>
    </row>
    <row r="43" spans="2:4">
      <c r="B43" s="129" t="s">
        <v>212</v>
      </c>
      <c r="C43" s="152"/>
      <c r="D43" s="125">
        <v>593995879622</v>
      </c>
    </row>
    <row r="44" spans="2:4">
      <c r="B44" s="129" t="s">
        <v>213</v>
      </c>
      <c r="C44" s="152"/>
      <c r="D44" s="126" t="s">
        <v>358</v>
      </c>
    </row>
    <row r="45" spans="2:4">
      <c r="B45" s="149"/>
      <c r="C45" s="150"/>
      <c r="D45" s="151"/>
    </row>
    <row r="46" spans="2:4">
      <c r="B46" s="129" t="s">
        <v>209</v>
      </c>
      <c r="C46" s="152"/>
      <c r="D46" s="54" t="s">
        <v>361</v>
      </c>
    </row>
    <row r="47" spans="2:4">
      <c r="B47" s="129" t="s">
        <v>210</v>
      </c>
      <c r="C47" s="152"/>
      <c r="D47" s="54" t="s">
        <v>349</v>
      </c>
    </row>
    <row r="48" spans="2:4">
      <c r="B48" s="129" t="s">
        <v>211</v>
      </c>
      <c r="C48" s="152"/>
      <c r="D48" s="54" t="s">
        <v>360</v>
      </c>
    </row>
    <row r="49" spans="2:4">
      <c r="B49" s="129" t="s">
        <v>212</v>
      </c>
      <c r="C49" s="152"/>
      <c r="D49" s="125">
        <v>593984586842</v>
      </c>
    </row>
    <row r="50" spans="2:4">
      <c r="B50" s="129" t="s">
        <v>213</v>
      </c>
      <c r="C50" s="152"/>
      <c r="D50" s="126" t="s">
        <v>359</v>
      </c>
    </row>
  </sheetData>
  <mergeCells count="37">
    <mergeCell ref="B47:C47"/>
    <mergeCell ref="B48:C48"/>
    <mergeCell ref="B49:C49"/>
    <mergeCell ref="B50:C50"/>
    <mergeCell ref="B41:C41"/>
    <mergeCell ref="B42:C42"/>
    <mergeCell ref="B43:C43"/>
    <mergeCell ref="B44:C44"/>
    <mergeCell ref="B45:D45"/>
    <mergeCell ref="B46:C46"/>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21:C21"/>
    <mergeCell ref="B19:C19"/>
    <mergeCell ref="B17:C17"/>
    <mergeCell ref="B2:D8"/>
    <mergeCell ref="B9:D9"/>
    <mergeCell ref="B16:C16"/>
    <mergeCell ref="B18:C18"/>
    <mergeCell ref="B20:C20"/>
    <mergeCell ref="B15:D15"/>
    <mergeCell ref="B14:C14"/>
    <mergeCell ref="B13:C13"/>
    <mergeCell ref="B12:C12"/>
    <mergeCell ref="B11:C11"/>
  </mergeCells>
  <hyperlinks>
    <hyperlink ref="D44" r:id="rId1" xr:uid="{7540F46D-5262-4C47-9A4D-978848078217}"/>
    <hyperlink ref="D50" r:id="rId2" xr:uid="{8A031ADA-F30C-44D0-A6B7-C2B77EF4DE7E}"/>
  </hyperlinks>
  <pageMargins left="0.7" right="0.7" top="0.75" bottom="0.75" header="0.3" footer="0.3"/>
  <pageSetup paperSize="9" orientation="portrait" horizontalDpi="0" verticalDpi="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X50"/>
  <sheetViews>
    <sheetView showGridLines="0" zoomScale="88" zoomScaleNormal="150" zoomScalePageLayoutView="150" workbookViewId="0">
      <selection activeCell="M46" sqref="M46"/>
    </sheetView>
  </sheetViews>
  <sheetFormatPr baseColWidth="10" defaultColWidth="8.75" defaultRowHeight="14"/>
  <cols>
    <col min="1" max="1" width="1.75" style="6" customWidth="1"/>
    <col min="2" max="2" width="9.5" style="6" customWidth="1"/>
    <col min="3" max="3" width="54.75" style="6" customWidth="1"/>
    <col min="4" max="4" width="6" style="6" customWidth="1"/>
    <col min="5" max="5" width="4.75" style="6" customWidth="1"/>
    <col min="6" max="6" width="5.75" style="6" customWidth="1"/>
    <col min="7" max="7" width="10.25" style="6" customWidth="1"/>
    <col min="8" max="16384" width="8.75" style="6"/>
  </cols>
  <sheetData>
    <row r="1" spans="2:24" ht="14.5" thickBot="1"/>
    <row r="2" spans="2:24" ht="15" thickBot="1">
      <c r="B2" s="8"/>
      <c r="C2" s="23" t="s">
        <v>68</v>
      </c>
      <c r="D2" s="9"/>
      <c r="E2" s="9"/>
      <c r="F2" s="9"/>
    </row>
    <row r="3" spans="2:24" ht="14.5">
      <c r="B3" s="9"/>
      <c r="C3" s="9"/>
      <c r="D3" s="9"/>
      <c r="E3" s="9"/>
      <c r="F3" s="9"/>
    </row>
    <row r="4" spans="2:24" ht="14.5">
      <c r="B4" s="156"/>
      <c r="C4" s="156"/>
      <c r="D4" s="156"/>
      <c r="E4" s="156"/>
      <c r="F4" s="156"/>
    </row>
    <row r="5" spans="2:24" ht="16.149999999999999" customHeight="1" thickBot="1">
      <c r="B5" s="21"/>
      <c r="C5" s="21"/>
      <c r="D5" s="21"/>
      <c r="E5" s="21"/>
      <c r="F5" s="21"/>
    </row>
    <row r="6" spans="2:24" ht="19.149999999999999" customHeight="1" thickBot="1">
      <c r="B6" s="22"/>
      <c r="C6" s="169" t="s">
        <v>109</v>
      </c>
      <c r="D6" s="169"/>
      <c r="E6" s="169"/>
      <c r="F6" s="169"/>
      <c r="G6" s="169"/>
      <c r="H6" s="169"/>
      <c r="I6" s="170"/>
      <c r="V6" s="166" t="s">
        <v>110</v>
      </c>
      <c r="W6" s="167"/>
      <c r="X6" s="168"/>
    </row>
    <row r="7" spans="2:24" ht="15" thickBot="1">
      <c r="B7" s="14"/>
      <c r="C7" s="14"/>
      <c r="D7" s="14"/>
      <c r="E7" s="14"/>
      <c r="F7" s="14"/>
    </row>
    <row r="8" spans="2:24" ht="16.149999999999999" customHeight="1">
      <c r="B8" s="21"/>
      <c r="C8" s="21"/>
      <c r="D8" s="21"/>
      <c r="E8" s="21"/>
      <c r="F8" s="21"/>
      <c r="G8" s="157">
        <f>AVERAGE(G43:G50)*5</f>
        <v>3.2573051948051948</v>
      </c>
      <c r="H8" s="158"/>
      <c r="I8" s="159"/>
      <c r="V8" s="157">
        <f>AVERAGE(K43:K50)*5</f>
        <v>0</v>
      </c>
      <c r="W8" s="158"/>
      <c r="X8" s="159"/>
    </row>
    <row r="9" spans="2:24" ht="91.15" customHeight="1">
      <c r="B9" s="22"/>
      <c r="C9" s="22"/>
      <c r="D9" s="22"/>
      <c r="E9" s="22"/>
      <c r="F9" s="22"/>
      <c r="G9" s="160"/>
      <c r="H9" s="161"/>
      <c r="I9" s="162"/>
      <c r="V9" s="160"/>
      <c r="W9" s="161"/>
      <c r="X9" s="162"/>
    </row>
    <row r="10" spans="2:24" ht="16.5" customHeight="1">
      <c r="B10" s="14"/>
      <c r="C10" s="14"/>
      <c r="D10" s="14"/>
      <c r="E10" s="14"/>
      <c r="F10" s="14"/>
      <c r="G10" s="160"/>
      <c r="H10" s="161"/>
      <c r="I10" s="162"/>
      <c r="V10" s="160"/>
      <c r="W10" s="161"/>
      <c r="X10" s="162"/>
    </row>
    <row r="11" spans="2:24" ht="17.25" customHeight="1" thickBot="1">
      <c r="B11" s="14"/>
      <c r="C11" s="14"/>
      <c r="D11" s="14"/>
      <c r="E11" s="14"/>
      <c r="F11" s="14"/>
      <c r="G11" s="163"/>
      <c r="H11" s="164"/>
      <c r="I11" s="165"/>
      <c r="V11" s="163"/>
      <c r="W11" s="164"/>
      <c r="X11" s="165"/>
    </row>
    <row r="12" spans="2:24" ht="16.149999999999999" customHeight="1">
      <c r="B12" s="171"/>
      <c r="C12" s="171"/>
      <c r="D12" s="171"/>
      <c r="E12" s="171"/>
      <c r="F12" s="171"/>
    </row>
    <row r="13" spans="2:24">
      <c r="B13" s="15"/>
      <c r="C13" s="15"/>
      <c r="D13" s="15"/>
      <c r="E13" s="15"/>
      <c r="F13" s="15"/>
    </row>
    <row r="14" spans="2:24">
      <c r="B14" s="16"/>
      <c r="C14" s="16"/>
      <c r="D14" s="16"/>
      <c r="E14" s="16"/>
      <c r="F14" s="17"/>
    </row>
    <row r="15" spans="2:24" ht="14.5">
      <c r="B15" s="14"/>
      <c r="C15" s="14"/>
      <c r="D15" s="14"/>
      <c r="E15" s="14"/>
      <c r="F15" s="14"/>
    </row>
    <row r="16" spans="2:24" ht="16.149999999999999" customHeight="1">
      <c r="B16" s="171"/>
      <c r="C16" s="171"/>
      <c r="D16" s="171"/>
      <c r="E16" s="171"/>
      <c r="F16" s="171"/>
    </row>
    <row r="17" spans="2:6">
      <c r="B17" s="15"/>
      <c r="C17" s="15"/>
      <c r="D17" s="15"/>
      <c r="E17" s="15"/>
      <c r="F17" s="15"/>
    </row>
    <row r="18" spans="2:6">
      <c r="B18" s="16"/>
      <c r="C18" s="16"/>
      <c r="D18" s="16"/>
      <c r="E18" s="16"/>
      <c r="F18" s="17"/>
    </row>
    <row r="20" spans="2:6">
      <c r="B20" s="6" t="s">
        <v>67</v>
      </c>
    </row>
    <row r="23" spans="2:6">
      <c r="C23" s="19"/>
    </row>
    <row r="24" spans="2:6" ht="15.5" customHeight="1">
      <c r="C24" s="19"/>
    </row>
    <row r="25" spans="2:6">
      <c r="C25" s="19"/>
    </row>
    <row r="26" spans="2:6">
      <c r="C26" s="19"/>
    </row>
    <row r="27" spans="2:6">
      <c r="C27" s="19"/>
    </row>
    <row r="28" spans="2:6">
      <c r="C28" s="19"/>
    </row>
    <row r="29" spans="2:6">
      <c r="C29" s="19"/>
    </row>
    <row r="30" spans="2:6">
      <c r="C30" s="19"/>
    </row>
    <row r="31" spans="2:6">
      <c r="C31" s="19"/>
    </row>
    <row r="32" spans="2:6">
      <c r="C32" s="19"/>
    </row>
    <row r="35" spans="3:11" ht="15.75" customHeight="1"/>
    <row r="41" spans="3:11" ht="14.5">
      <c r="D41" s="153" t="s">
        <v>77</v>
      </c>
      <c r="E41" s="154"/>
      <c r="F41" s="154"/>
      <c r="G41" s="155"/>
      <c r="H41" s="153" t="s">
        <v>78</v>
      </c>
      <c r="I41" s="154"/>
      <c r="J41" s="154"/>
      <c r="K41" s="155"/>
    </row>
    <row r="42" spans="3:11">
      <c r="D42" s="18" t="s">
        <v>73</v>
      </c>
      <c r="E42" s="18" t="s">
        <v>74</v>
      </c>
      <c r="F42" s="18" t="s">
        <v>75</v>
      </c>
      <c r="G42" s="18" t="s">
        <v>76</v>
      </c>
      <c r="H42" s="18" t="s">
        <v>73</v>
      </c>
      <c r="I42" s="18" t="s">
        <v>74</v>
      </c>
      <c r="J42" s="18" t="s">
        <v>75</v>
      </c>
      <c r="K42" s="18" t="s">
        <v>76</v>
      </c>
    </row>
    <row r="43" spans="3:11" ht="14.5">
      <c r="C43" s="12" t="s">
        <v>101</v>
      </c>
      <c r="D43" s="10">
        <f>COUNTIFS('Security Requirements - Android'!G5:G14,'Security Requirements - Android'!B79)</f>
        <v>0</v>
      </c>
      <c r="E43" s="10">
        <f>COUNTIFS('Security Requirements - Android'!G5:G14,'Security Requirements - Android'!B80)</f>
        <v>1</v>
      </c>
      <c r="F43" s="11">
        <f>COUNTIFS('Security Requirements - Android'!G5:G14,'Security Requirements - Android'!B81)</f>
        <v>9</v>
      </c>
      <c r="G43" s="20">
        <f t="shared" ref="G43:G49" si="0">IF(D43+E43=0, 0, D43/(E43+D43))</f>
        <v>0</v>
      </c>
      <c r="H43" s="10">
        <f>COUNTIFS('Security Requirements - iOS'!G5:G14,'Security Requirements - Android'!B79)</f>
        <v>0</v>
      </c>
      <c r="I43" s="10">
        <f>COUNTIFS('Security Requirements - iOS'!G5:G14,'Security Requirements - Android'!B80)</f>
        <v>0</v>
      </c>
      <c r="J43" s="11">
        <f>COUNTIFS('Security Requirements - iOS'!G5:G14,'Security Requirements - Android'!B81)</f>
        <v>10</v>
      </c>
      <c r="K43" s="20">
        <f t="shared" ref="K43:K49" si="1">IF(H43+I43=0, 0, H43/(H43+I43))</f>
        <v>0</v>
      </c>
    </row>
    <row r="44" spans="3:11" ht="14.5">
      <c r="C44" s="12" t="s">
        <v>102</v>
      </c>
      <c r="D44" s="10">
        <f>COUNTIFS('Security Requirements - Android'!G16:G27,'Security Requirements - Android'!B79)</f>
        <v>5</v>
      </c>
      <c r="E44" s="10">
        <f>COUNTIFS('Security Requirements - Android'!G16:G27,'Security Requirements - Android'!B80)</f>
        <v>5</v>
      </c>
      <c r="F44" s="10">
        <f>COUNTIFS('Security Requirements - Android'!G16:G27,'Security Requirements - Android'!B81)</f>
        <v>2</v>
      </c>
      <c r="G44" s="20">
        <f t="shared" si="0"/>
        <v>0.5</v>
      </c>
      <c r="H44" s="10">
        <f>COUNTIFS('Security Requirements - iOS'!G16:G27,'Security Requirements - Android'!B79)</f>
        <v>0</v>
      </c>
      <c r="I44" s="10">
        <f>COUNTIFS('Security Requirements - iOS'!G16:G27,'Security Requirements - Android'!B80)</f>
        <v>0</v>
      </c>
      <c r="J44" s="10">
        <f>COUNTIFS('Security Requirements - iOS'!G16:G27,'Security Requirements - Android'!B81)</f>
        <v>12</v>
      </c>
      <c r="K44" s="20">
        <f t="shared" si="1"/>
        <v>0</v>
      </c>
    </row>
    <row r="45" spans="3:11" ht="14.5">
      <c r="C45" s="12" t="s">
        <v>103</v>
      </c>
      <c r="D45" s="10">
        <f>COUNTIFS('Security Requirements - Android'!G29:G34,'Security Requirements - Android'!B79)</f>
        <v>3</v>
      </c>
      <c r="E45" s="10">
        <f>COUNTIFS('Security Requirements - Android'!G29:G34,'Security Requirements - Android'!B80)</f>
        <v>2</v>
      </c>
      <c r="F45" s="10">
        <f>COUNTIFS('Security Requirements - Android'!G29:G34,'Security Requirements - Android'!B81)</f>
        <v>1</v>
      </c>
      <c r="G45" s="20">
        <f t="shared" si="0"/>
        <v>0.6</v>
      </c>
      <c r="H45" s="10">
        <f>COUNTIFS('Security Requirements - iOS'!G29:G34,'Security Requirements - Android'!B79)</f>
        <v>0</v>
      </c>
      <c r="I45" s="10">
        <f>COUNTIFS('Security Requirements - iOS'!G29:G34,'Security Requirements - Android'!B80)</f>
        <v>0</v>
      </c>
      <c r="J45" s="10">
        <f>COUNTIFS('Security Requirements - iOS'!G29:G34,'Security Requirements - Android'!B81)</f>
        <v>6</v>
      </c>
      <c r="K45" s="20">
        <f t="shared" si="1"/>
        <v>0</v>
      </c>
    </row>
    <row r="46" spans="3:11" ht="14.5">
      <c r="C46" s="12" t="s">
        <v>104</v>
      </c>
      <c r="D46" s="10">
        <f>COUNTIFS('Security Requirements - Android'!G36:G46,'Security Requirements - Android'!B79)</f>
        <v>6</v>
      </c>
      <c r="E46" s="10">
        <f>COUNTIFS('Security Requirements - Android'!G36:G46,'Security Requirements - Android'!B80)</f>
        <v>1</v>
      </c>
      <c r="F46" s="10">
        <f>COUNTIFS('Security Requirements - Android'!G36:G46,'Security Requirements - Android'!B81)</f>
        <v>4</v>
      </c>
      <c r="G46" s="20">
        <f t="shared" si="0"/>
        <v>0.8571428571428571</v>
      </c>
      <c r="H46" s="10">
        <f>COUNTIFS('Security Requirements - iOS'!G36:G46,'Security Requirements - Android'!B79)</f>
        <v>0</v>
      </c>
      <c r="I46" s="10">
        <f>COUNTIFS('Security Requirements - iOS'!G36:G46,'Security Requirements - Android'!B80)</f>
        <v>0</v>
      </c>
      <c r="J46" s="10">
        <f>COUNTIFS('Security Requirements - iOS'!G36:G46,'Security Requirements - Android'!B81)</f>
        <v>11</v>
      </c>
      <c r="K46" s="20">
        <f t="shared" si="1"/>
        <v>0</v>
      </c>
    </row>
    <row r="47" spans="3:11" ht="14.5">
      <c r="C47" s="12" t="s">
        <v>105</v>
      </c>
      <c r="D47" s="10">
        <f>COUNTIFS('Security Requirements - Android'!G48:G53,'Security Requirements - Android'!B79)</f>
        <v>6</v>
      </c>
      <c r="E47" s="10">
        <f>COUNTIFS('Security Requirements - Android'!G48:G53,'Security Requirements - Android'!B80)</f>
        <v>0</v>
      </c>
      <c r="F47" s="10">
        <f>COUNTIFS('Security Requirements - Android'!G48:G53,'Security Requirements - Android'!B81)</f>
        <v>0</v>
      </c>
      <c r="G47" s="20">
        <f t="shared" si="0"/>
        <v>1</v>
      </c>
      <c r="H47" s="10">
        <f>COUNTIFS('Security Requirements - iOS'!G48:G53,'Security Requirements - Android'!B79)</f>
        <v>0</v>
      </c>
      <c r="I47" s="10">
        <f>COUNTIFS('Security Requirements - iOS'!G48:G53,'Security Requirements - Android'!B80)</f>
        <v>0</v>
      </c>
      <c r="J47" s="10">
        <f>COUNTIFS('Security Requirements - iOS'!G48:G53,'Security Requirements - Android'!B81)</f>
        <v>6</v>
      </c>
      <c r="K47" s="20">
        <f t="shared" si="1"/>
        <v>0</v>
      </c>
    </row>
    <row r="48" spans="3:11" ht="14.5">
      <c r="C48" s="12" t="s">
        <v>106</v>
      </c>
      <c r="D48" s="10">
        <f>COUNTIFS('Security Requirements - Android'!G55:G62,'Security Requirements - Android'!B79)</f>
        <v>4</v>
      </c>
      <c r="E48" s="10">
        <f>COUNTIFS('Security Requirements - Android'!G55:G62,'Security Requirements - Android'!B80)</f>
        <v>1</v>
      </c>
      <c r="F48" s="10">
        <f>COUNTIFS('Security Requirements - Android'!G55:G62,'Security Requirements - Android'!B81)</f>
        <v>3</v>
      </c>
      <c r="G48" s="20">
        <f t="shared" si="0"/>
        <v>0.8</v>
      </c>
      <c r="H48" s="10">
        <f>COUNTIFS('Security Requirements - iOS'!G55:G62,'Security Requirements - Android'!B79)</f>
        <v>0</v>
      </c>
      <c r="I48" s="10">
        <f>COUNTIFS('Security Requirements - iOS'!G55:G62,'Security Requirements - Android'!B80)</f>
        <v>1</v>
      </c>
      <c r="J48" s="10">
        <f>COUNTIFS('Security Requirements - iOS'!G55:G62,'Security Requirements - Android'!B81)</f>
        <v>7</v>
      </c>
      <c r="K48" s="20">
        <f t="shared" si="1"/>
        <v>0</v>
      </c>
    </row>
    <row r="49" spans="3:11" ht="14.5">
      <c r="C49" s="12" t="s">
        <v>107</v>
      </c>
      <c r="D49" s="10">
        <f>COUNTIFS('Security Requirements - Android'!G64:G72,'Security Requirements - Android'!B79)</f>
        <v>6</v>
      </c>
      <c r="E49" s="10">
        <f>COUNTIFS('Security Requirements - Android'!G64:G72,'Security Requirements - Android'!B80)</f>
        <v>0</v>
      </c>
      <c r="F49" s="10">
        <f>COUNTIFS('Security Requirements - Android'!G64:G72,'Security Requirements - Android'!B81)</f>
        <v>3</v>
      </c>
      <c r="G49" s="20">
        <f t="shared" si="0"/>
        <v>1</v>
      </c>
      <c r="H49" s="10">
        <f>COUNTIFS('Security Requirements - iOS'!G64:G72,'Security Requirements - Android'!B79)</f>
        <v>0</v>
      </c>
      <c r="I49" s="10">
        <f>COUNTIFS('Security Requirements - iOS'!G64:G72,'Security Requirements - Android'!B80)</f>
        <v>0</v>
      </c>
      <c r="J49" s="10">
        <f>COUNTIFS('Security Requirements - iOS'!G64:G72,'Security Requirements - Android'!B81)</f>
        <v>9</v>
      </c>
      <c r="K49" s="20">
        <f t="shared" si="1"/>
        <v>0</v>
      </c>
    </row>
    <row r="50" spans="3:11" ht="14.5">
      <c r="C50" s="12" t="s">
        <v>108</v>
      </c>
      <c r="D50" s="10">
        <f>COUNTIFS('Anti-RE - Android'!F4:F18,'Security Requirements - Android'!B79)</f>
        <v>5</v>
      </c>
      <c r="E50" s="10">
        <f>COUNTIFS('Anti-RE - Android'!F4:F18,'Security Requirements - Android'!B80)</f>
        <v>6</v>
      </c>
      <c r="F50" s="10">
        <f>COUNTIFS('Anti-RE - Android'!F4:F18,'Security Requirements - Android'!B81)</f>
        <v>1</v>
      </c>
      <c r="G50" s="20">
        <f>IF(D50+E50=0, 0, D50/(E50+D50))</f>
        <v>0.45454545454545453</v>
      </c>
      <c r="H50" s="10">
        <f>COUNTIFS('Anti-RE - iOS'!F4:F18,'Security Requirements - Android'!B79)</f>
        <v>0</v>
      </c>
      <c r="I50" s="10">
        <f>COUNTIFS('Anti-RE - iOS'!F4:F18,'Security Requirements - Android'!B80)</f>
        <v>0</v>
      </c>
      <c r="J50" s="10">
        <f>COUNTIFS('Anti-RE - iOS'!F4:F18,'Security Requirements - Android'!B81)</f>
        <v>12</v>
      </c>
      <c r="K50" s="20">
        <f>IF(H50+I50=0, 0, H50/(H50+I50))</f>
        <v>0</v>
      </c>
    </row>
  </sheetData>
  <mergeCells count="9">
    <mergeCell ref="D41:G41"/>
    <mergeCell ref="H41:K41"/>
    <mergeCell ref="B4:F4"/>
    <mergeCell ref="G8:I11"/>
    <mergeCell ref="V6:X6"/>
    <mergeCell ref="V8:X11"/>
    <mergeCell ref="C6:I6"/>
    <mergeCell ref="B12:F12"/>
    <mergeCell ref="B16:F16"/>
  </mergeCells>
  <conditionalFormatting sqref="F14">
    <cfRule type="iconSet" priority="3">
      <iconSet>
        <cfvo type="percent" val="0"/>
        <cfvo type="num" val="0.4"/>
        <cfvo type="num" val="0.8"/>
      </iconSet>
    </cfRule>
  </conditionalFormatting>
  <conditionalFormatting sqref="F14">
    <cfRule type="expression" dxfId="10"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9"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L85"/>
  <sheetViews>
    <sheetView tabSelected="1" zoomScale="115" zoomScaleNormal="115" zoomScalePageLayoutView="130" workbookViewId="0">
      <selection activeCell="G14" sqref="G14"/>
    </sheetView>
  </sheetViews>
  <sheetFormatPr baseColWidth="10" defaultColWidth="11" defaultRowHeight="15.5"/>
  <cols>
    <col min="1" max="1" width="1.75" customWidth="1"/>
    <col min="2" max="2" width="8" customWidth="1"/>
    <col min="3" max="3" width="18.25" customWidth="1"/>
    <col min="4" max="4" width="96.75" style="53" customWidth="1"/>
    <col min="8" max="8" width="101.58203125" customWidth="1"/>
    <col min="9" max="9" width="83.58203125" customWidth="1"/>
    <col min="10" max="10" width="71.25" customWidth="1"/>
    <col min="11" max="11" width="30.75" customWidth="1"/>
    <col min="12" max="13" width="10.75" customWidth="1"/>
  </cols>
  <sheetData>
    <row r="1" spans="2:11" ht="18.5">
      <c r="B1" s="172" t="s">
        <v>187</v>
      </c>
      <c r="C1" s="172"/>
      <c r="D1" s="173"/>
      <c r="E1" s="173"/>
      <c r="F1" s="173"/>
      <c r="G1" s="173"/>
      <c r="H1" s="173"/>
      <c r="I1" s="173"/>
    </row>
    <row r="2" spans="2:11">
      <c r="B2" s="44"/>
      <c r="C2" s="44"/>
      <c r="D2" s="51"/>
      <c r="E2" s="44"/>
      <c r="F2" s="44"/>
      <c r="G2" s="44"/>
      <c r="H2" s="44"/>
      <c r="I2" s="44"/>
      <c r="J2" s="44"/>
      <c r="K2" s="44"/>
    </row>
    <row r="3" spans="2:11">
      <c r="B3" s="27" t="s">
        <v>0</v>
      </c>
      <c r="C3" s="28" t="s">
        <v>270</v>
      </c>
      <c r="D3" s="67" t="s">
        <v>111</v>
      </c>
      <c r="E3" s="75" t="s">
        <v>221</v>
      </c>
      <c r="F3" s="75" t="s">
        <v>222</v>
      </c>
      <c r="G3" s="75" t="s">
        <v>223</v>
      </c>
      <c r="H3" s="176" t="s">
        <v>224</v>
      </c>
      <c r="I3" s="176"/>
      <c r="J3" s="177"/>
      <c r="K3" s="76" t="s">
        <v>225</v>
      </c>
    </row>
    <row r="4" spans="2:11">
      <c r="B4" s="29" t="s">
        <v>1</v>
      </c>
      <c r="C4" s="30"/>
      <c r="D4" s="68" t="s">
        <v>112</v>
      </c>
      <c r="E4" s="30"/>
      <c r="F4" s="30"/>
      <c r="G4" s="30"/>
      <c r="H4" s="174"/>
      <c r="I4" s="175"/>
      <c r="J4" s="103"/>
      <c r="K4" s="31"/>
    </row>
    <row r="5" spans="2:11">
      <c r="B5" s="62" t="s">
        <v>2</v>
      </c>
      <c r="C5" s="90" t="s">
        <v>271</v>
      </c>
      <c r="D5" s="32" t="s">
        <v>121</v>
      </c>
      <c r="E5" s="26" t="s">
        <v>3</v>
      </c>
      <c r="F5" s="45" t="s">
        <v>3</v>
      </c>
      <c r="G5" s="33" t="s">
        <v>64</v>
      </c>
      <c r="H5" s="104" t="str">
        <f>HYPERLINK(CONCATENATE(
BASE_URL,
"0x04b-Mobile-App-Security-Testing.md#architectural-information"),
"Architectural Information")</f>
        <v>Architectural Information</v>
      </c>
      <c r="I5" s="104"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63"/>
      <c r="K5" s="63"/>
    </row>
    <row r="6" spans="2:11" ht="30" customHeight="1">
      <c r="B6" s="62" t="s">
        <v>260</v>
      </c>
      <c r="C6" s="90" t="s">
        <v>272</v>
      </c>
      <c r="D6" s="32" t="s">
        <v>238</v>
      </c>
      <c r="E6" s="26" t="s">
        <v>3</v>
      </c>
      <c r="F6" s="45" t="s">
        <v>3</v>
      </c>
      <c r="G6" s="33" t="s">
        <v>72</v>
      </c>
      <c r="H6" s="105" t="str">
        <f>HYPERLINK(CONCATENATE(
BASE_URL,
"0x04h-Testing-Code-Quality.md#injection-flaws-mstg-arch-2-and-mstg-platform-2"),
"Injection Flaws (MSTG-ARCH-2 and MSTG-PLATFORM-2)")</f>
        <v>Injection Flaws (MSTG-ARCH-2 and MSTG-PLATFORM-2)</v>
      </c>
      <c r="I6" s="94"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K6" s="63"/>
    </row>
    <row r="7" spans="2:11" ht="30.65" customHeight="1">
      <c r="B7" s="62" t="s">
        <v>261</v>
      </c>
      <c r="C7" s="90" t="s">
        <v>280</v>
      </c>
      <c r="D7" s="32" t="s">
        <v>122</v>
      </c>
      <c r="E7" s="26" t="s">
        <v>3</v>
      </c>
      <c r="F7" s="45" t="s">
        <v>3</v>
      </c>
      <c r="G7" s="33" t="s">
        <v>64</v>
      </c>
      <c r="H7" s="104" t="str">
        <f>HYPERLINK(CONCATENATE(
BASE_URL,
"0x04b-Mobile-App-Security-Testing.md#architectural-information"),
"Architectural Information")</f>
        <v>Architectural Information</v>
      </c>
      <c r="I7" s="63"/>
      <c r="J7" s="63"/>
      <c r="K7" s="63"/>
    </row>
    <row r="8" spans="2:11">
      <c r="B8" s="62" t="s">
        <v>262</v>
      </c>
      <c r="C8" s="90" t="s">
        <v>273</v>
      </c>
      <c r="D8" s="32" t="s">
        <v>123</v>
      </c>
      <c r="E8" s="26" t="s">
        <v>3</v>
      </c>
      <c r="F8" s="45" t="s">
        <v>3</v>
      </c>
      <c r="G8" s="33" t="s">
        <v>64</v>
      </c>
      <c r="H8" s="104" t="str">
        <f>HYPERLINK(CONCATENATE(
BASE_URL,
"0x04b-Mobile-App-Security-Testing.md#identifying-sensitive-data"),
"Identifying Sensitive Data")</f>
        <v>Identifying Sensitive Data</v>
      </c>
      <c r="I8" s="63"/>
      <c r="J8" s="63"/>
      <c r="K8" s="63"/>
    </row>
    <row r="9" spans="2:11" ht="29">
      <c r="B9" s="62" t="s">
        <v>263</v>
      </c>
      <c r="C9" s="90" t="s">
        <v>274</v>
      </c>
      <c r="D9" s="32" t="s">
        <v>124</v>
      </c>
      <c r="E9" s="32"/>
      <c r="F9" s="45" t="s">
        <v>3</v>
      </c>
      <c r="G9" s="33" t="s">
        <v>64</v>
      </c>
      <c r="H9" s="104" t="str">
        <f>HYPERLINK(CONCATENATE(
BASE_URL,
"0x04b-Mobile-App-Security-Testing.md#environmental-information"),
"Environmental Information")</f>
        <v>Environmental Information</v>
      </c>
      <c r="I9" s="63"/>
      <c r="J9" s="63"/>
      <c r="K9" s="63"/>
    </row>
    <row r="10" spans="2:11" ht="29">
      <c r="B10" s="62" t="s">
        <v>264</v>
      </c>
      <c r="C10" s="90" t="s">
        <v>275</v>
      </c>
      <c r="D10" s="32" t="s">
        <v>125</v>
      </c>
      <c r="E10" s="32"/>
      <c r="F10" s="45" t="s">
        <v>3</v>
      </c>
      <c r="G10" s="33" t="s">
        <v>64</v>
      </c>
      <c r="H10" s="104" t="str">
        <f>HYPERLINK(CONCATENATE(
BASE_URL,
"0x04b-Mobile-App-Security-Testing.md#mapping-the-application"),
"Mapping the Application")</f>
        <v>Mapping the Application</v>
      </c>
      <c r="I10" s="63"/>
      <c r="J10" s="63"/>
      <c r="K10" s="63"/>
    </row>
    <row r="11" spans="2:11">
      <c r="B11" s="62" t="s">
        <v>4</v>
      </c>
      <c r="C11" s="90" t="s">
        <v>276</v>
      </c>
      <c r="D11" s="32" t="s">
        <v>126</v>
      </c>
      <c r="E11" s="46"/>
      <c r="F11" s="45" t="s">
        <v>3</v>
      </c>
      <c r="G11" s="33" t="s">
        <v>64</v>
      </c>
      <c r="H11" s="104"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94" t="str">
        <f>HYPERLINK(CONCATENATE(
BASE_URL,
"0x04b-Mobile-App-Security-Testing.md#principles-of-testing"),
"Principles of Testing")</f>
        <v>Principles of Testing</v>
      </c>
      <c r="J11" s="104" t="str">
        <f>HYPERLINK(CONCATENATE(
BASE_URL,
"0x04b-Mobile-App-Security-Testing.md#penetration-testing-aka-pentesting"),
"Penetration Testing (a.k.a. Pentesting)")</f>
        <v>Penetration Testing (a.k.a. Pentesting)</v>
      </c>
      <c r="K11" s="63"/>
    </row>
    <row r="12" spans="2:11" ht="29">
      <c r="B12" s="62" t="s">
        <v>265</v>
      </c>
      <c r="C12" s="90" t="s">
        <v>277</v>
      </c>
      <c r="D12" s="32" t="s">
        <v>127</v>
      </c>
      <c r="E12" s="32"/>
      <c r="F12" s="45" t="s">
        <v>3</v>
      </c>
      <c r="G12" s="33" t="s">
        <v>64</v>
      </c>
      <c r="H12" s="104" t="str">
        <f>HYPERLINK(CONCATENATE(
BASE_URL,
"0x04g-Testing-Cryptography.md#cryptographic-policy"),
"Cryptographic policy")</f>
        <v>Cryptographic policy</v>
      </c>
      <c r="I12" s="63"/>
      <c r="J12" s="63"/>
      <c r="K12" s="63"/>
    </row>
    <row r="13" spans="2:11">
      <c r="B13" s="62" t="s">
        <v>266</v>
      </c>
      <c r="C13" s="90" t="s">
        <v>278</v>
      </c>
      <c r="D13" s="32" t="s">
        <v>128</v>
      </c>
      <c r="E13" s="32"/>
      <c r="F13" s="45" t="s">
        <v>3</v>
      </c>
      <c r="G13" s="33" t="s">
        <v>64</v>
      </c>
      <c r="H13" s="104" t="str">
        <f>HYPERLINK(CONCATENATE(
BASE_URL,
"0x05h-Testing-Platform-Interaction.md#testing-enforced-updating-mstg-arch-9"),
"Testing enforced updating (MSTG-ARCH-9)")</f>
        <v>Testing enforced updating (MSTG-ARCH-9)</v>
      </c>
      <c r="I13" s="63"/>
      <c r="J13" s="63"/>
      <c r="K13" s="63"/>
    </row>
    <row r="14" spans="2:11">
      <c r="B14" s="62" t="s">
        <v>5</v>
      </c>
      <c r="C14" s="90" t="s">
        <v>279</v>
      </c>
      <c r="D14" s="32" t="s">
        <v>129</v>
      </c>
      <c r="E14" s="32"/>
      <c r="F14" s="45" t="s">
        <v>3</v>
      </c>
      <c r="G14" s="33" t="s">
        <v>64</v>
      </c>
      <c r="H14" s="104" t="str">
        <f>HYPERLINK(CONCATENATE(
BASE_URL,
"0x04b-Mobile-App-Security-Testing.md#security-testing-and-the-sdlc"),
"Security Testing and the SDLC")</f>
        <v>Security Testing and the SDLC</v>
      </c>
      <c r="I14" s="63"/>
      <c r="J14" s="63"/>
      <c r="K14" s="63"/>
    </row>
    <row r="15" spans="2:11">
      <c r="B15" s="34" t="s">
        <v>6</v>
      </c>
      <c r="C15" s="47"/>
      <c r="D15" s="69" t="s">
        <v>113</v>
      </c>
      <c r="E15" s="35"/>
      <c r="F15" s="47"/>
      <c r="G15" s="35"/>
      <c r="H15" s="106"/>
      <c r="I15" s="36"/>
      <c r="J15" s="36"/>
      <c r="K15" s="36"/>
    </row>
    <row r="16" spans="2:11" ht="29">
      <c r="B16" s="48" t="s">
        <v>7</v>
      </c>
      <c r="C16" s="91" t="s">
        <v>281</v>
      </c>
      <c r="D16" s="49" t="s">
        <v>239</v>
      </c>
      <c r="E16" s="26" t="s">
        <v>3</v>
      </c>
      <c r="F16" s="45" t="s">
        <v>3</v>
      </c>
      <c r="G16" s="33" t="s">
        <v>71</v>
      </c>
      <c r="H16" s="107" t="str">
        <f>HYPERLINK(CONCATENATE(BASE_URL,"0x05d-Testing-Data-Storage.md#testing-local-storage-for-sensitive-data-mstg-storage-1-and-mstg-storage-2"),"Testing Local Storage for Sensitive Data (MSTG-STORAGE-1 and MSTG-STORAGE-2)")</f>
        <v>Testing Local Storage for Sensitive Data (MSTG-STORAGE-1 and MSTG-STORAGE-2)</v>
      </c>
      <c r="I16" s="109" t="str">
        <f>HYPERLINK(CONCATENATE(BASE_URL,"0x05e-Testing-Cryptography.md#testing-key-management-mstg-storage-1-mstg-crypto-1-and-mstg-crypto-5"),"Testing Key Management (MSTG-STORAGE-1, MSTG-CRYPTO-1 and MSTG-CRYPTO-5)")</f>
        <v>Testing Key Management (MSTG-STORAGE-1, MSTG-CRYPTO-1 and MSTG-CRYPTO-5)</v>
      </c>
      <c r="J16" s="63"/>
      <c r="K16" s="63"/>
    </row>
    <row r="17" spans="2:11" ht="29">
      <c r="B17" s="48" t="s">
        <v>39</v>
      </c>
      <c r="C17" s="91" t="s">
        <v>282</v>
      </c>
      <c r="D17" s="49" t="s">
        <v>240</v>
      </c>
      <c r="E17" s="26" t="s">
        <v>3</v>
      </c>
      <c r="F17" s="45" t="s">
        <v>3</v>
      </c>
      <c r="G17" s="33" t="s">
        <v>72</v>
      </c>
      <c r="H17" s="108" t="str">
        <f>HYPERLINK(CONCATENATE(BASE_URL,"0x05d-Testing-Data-Storage.md#testing-local-storage-for-sensitive-data-mstg-storage-1-and-mstg-storage-2"),"Testing Local Storage for Sensitive Data (MSTG-STORAGE-1 and MSTG-STORAGE-2)")</f>
        <v>Testing Local Storage for Sensitive Data (MSTG-STORAGE-1 and MSTG-STORAGE-2)</v>
      </c>
      <c r="I17" s="63"/>
      <c r="J17" s="63"/>
      <c r="K17" s="63"/>
    </row>
    <row r="18" spans="2:11">
      <c r="B18" s="48" t="s">
        <v>40</v>
      </c>
      <c r="C18" s="91" t="s">
        <v>283</v>
      </c>
      <c r="D18" s="49" t="s">
        <v>130</v>
      </c>
      <c r="E18" s="26" t="s">
        <v>3</v>
      </c>
      <c r="F18" s="45" t="s">
        <v>3</v>
      </c>
      <c r="G18" s="33" t="s">
        <v>71</v>
      </c>
      <c r="H18" s="109" t="str">
        <f>HYPERLINK(CONCATENATE(BASE_URL,"0x05d-Testing-Data-Storage.md#testing-logs-for-sensitive-data-mstg-storage-3"),"Testing Logs for Sensitive Data (MSTG-STORAGE-3)")</f>
        <v>Testing Logs for Sensitive Data (MSTG-STORAGE-3)</v>
      </c>
      <c r="I18" s="63"/>
      <c r="J18" s="63"/>
      <c r="K18" s="63"/>
    </row>
    <row r="19" spans="2:11">
      <c r="B19" s="48" t="s">
        <v>8</v>
      </c>
      <c r="C19" s="91" t="s">
        <v>284</v>
      </c>
      <c r="D19" s="49" t="s">
        <v>131</v>
      </c>
      <c r="E19" s="26" t="s">
        <v>3</v>
      </c>
      <c r="F19" s="45" t="s">
        <v>3</v>
      </c>
      <c r="G19" s="33" t="s">
        <v>71</v>
      </c>
      <c r="H19" s="108" t="str">
        <f>HYPERLINK(CONCATENATE(BASE_URL,"0x05d-Testing-Data-Storage.md#determining-whether-sensitive-data-is-sent-to-third-parties-mstg-storage-4"),"Determining Whether Sensitive Data is Sent to Third Parties (MSTG-STORAGE-4)")</f>
        <v>Determining Whether Sensitive Data is Sent to Third Parties (MSTG-STORAGE-4)</v>
      </c>
      <c r="I19" s="63"/>
      <c r="J19" s="63"/>
      <c r="K19" s="63"/>
    </row>
    <row r="20" spans="2:11">
      <c r="B20" s="48" t="s">
        <v>41</v>
      </c>
      <c r="C20" s="91" t="s">
        <v>285</v>
      </c>
      <c r="D20" s="49" t="s">
        <v>132</v>
      </c>
      <c r="E20" s="26" t="s">
        <v>3</v>
      </c>
      <c r="F20" s="45" t="s">
        <v>3</v>
      </c>
      <c r="G20" s="33" t="s">
        <v>64</v>
      </c>
      <c r="H20" s="108"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0" s="63"/>
      <c r="J20" s="63"/>
      <c r="K20" s="63"/>
    </row>
    <row r="21" spans="2:11">
      <c r="B21" s="48" t="s">
        <v>9</v>
      </c>
      <c r="C21" s="91" t="s">
        <v>286</v>
      </c>
      <c r="D21" s="49" t="s">
        <v>133</v>
      </c>
      <c r="E21" s="26" t="s">
        <v>3</v>
      </c>
      <c r="F21" s="45" t="s">
        <v>3</v>
      </c>
      <c r="G21" s="33" t="s">
        <v>64</v>
      </c>
      <c r="H21" s="108"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1" s="63"/>
      <c r="J21" s="63"/>
      <c r="K21" s="63"/>
    </row>
    <row r="22" spans="2:11" ht="29">
      <c r="B22" s="48" t="s">
        <v>10</v>
      </c>
      <c r="C22" s="91" t="s">
        <v>287</v>
      </c>
      <c r="D22" s="49" t="s">
        <v>134</v>
      </c>
      <c r="E22" s="26" t="s">
        <v>3</v>
      </c>
      <c r="F22" s="45" t="s">
        <v>3</v>
      </c>
      <c r="G22" s="33" t="s">
        <v>71</v>
      </c>
      <c r="H22" s="109"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2" s="63"/>
      <c r="J22" s="63"/>
      <c r="K22" s="63"/>
    </row>
    <row r="23" spans="2:11">
      <c r="B23" s="48" t="s">
        <v>11</v>
      </c>
      <c r="C23" s="91" t="s">
        <v>288</v>
      </c>
      <c r="D23" s="49" t="s">
        <v>135</v>
      </c>
      <c r="E23" s="49"/>
      <c r="F23" s="45" t="s">
        <v>3</v>
      </c>
      <c r="G23" s="33" t="s">
        <v>71</v>
      </c>
      <c r="H23" s="109" t="str">
        <f>HYPERLINK(CONCATENATE(BASE_URL,"0x05d-Testing-Data-Storage.md#testing-backups-for-sensitive-data-mstg-storage-8"),"Testing Backups for Sensitive Data (MSTG-STORAGE-8)")</f>
        <v>Testing Backups for Sensitive Data (MSTG-STORAGE-8)</v>
      </c>
      <c r="I23" s="63"/>
      <c r="J23" s="63"/>
      <c r="K23" s="63"/>
    </row>
    <row r="24" spans="2:11">
      <c r="B24" s="48" t="s">
        <v>12</v>
      </c>
      <c r="C24" s="91" t="s">
        <v>289</v>
      </c>
      <c r="D24" s="49" t="s">
        <v>136</v>
      </c>
      <c r="E24" s="49"/>
      <c r="F24" s="45" t="s">
        <v>3</v>
      </c>
      <c r="G24" s="33" t="s">
        <v>72</v>
      </c>
      <c r="H24" s="109" t="str">
        <f>HYPERLINK(CONCATENATE(BASE_URL,"0x05d-Testing-Data-Storage.md#finding-sensitive-information-in-auto-generated-screenshots-mstg-storage-9"),"Finding Sensitive Information in Auto-Generated Screenshots (MSTG-STORAGE-9)")</f>
        <v>Finding Sensitive Information in Auto-Generated Screenshots (MSTG-STORAGE-9)</v>
      </c>
      <c r="I24" s="63"/>
      <c r="J24" s="63"/>
      <c r="K24" s="63"/>
    </row>
    <row r="25" spans="2:11" ht="33" customHeight="1">
      <c r="B25" s="48" t="s">
        <v>42</v>
      </c>
      <c r="C25" s="91" t="s">
        <v>290</v>
      </c>
      <c r="D25" s="49" t="s">
        <v>137</v>
      </c>
      <c r="E25" s="49"/>
      <c r="F25" s="45" t="s">
        <v>3</v>
      </c>
      <c r="G25" s="33" t="s">
        <v>72</v>
      </c>
      <c r="H25" s="109" t="str">
        <f>HYPERLINK(CONCATENATE(BASE_URL,"0x05d-Testing-Data-Storage.md#checking-memory-for-sensitive-data-mstg-storage-10"),"Checking Memory for Sensitive Data (MSTG-STORAGE-10)")</f>
        <v>Checking Memory for Sensitive Data (MSTG-STORAGE-10)</v>
      </c>
      <c r="I25" s="63"/>
      <c r="J25" s="63"/>
      <c r="K25" s="63"/>
    </row>
    <row r="26" spans="2:11" ht="29">
      <c r="B26" s="48" t="s">
        <v>43</v>
      </c>
      <c r="C26" s="91" t="s">
        <v>291</v>
      </c>
      <c r="D26" s="49" t="s">
        <v>138</v>
      </c>
      <c r="E26" s="49"/>
      <c r="F26" s="45" t="s">
        <v>3</v>
      </c>
      <c r="G26" s="33" t="s">
        <v>72</v>
      </c>
      <c r="H26" s="109" t="str">
        <f>HYPERLINK(CONCATENATE(BASE_URL,"0x05d-Testing-Data-Storage.md#testing-the-device-access-security-policy-mstg-storage-11"),"Testing the Device-Access-Security Policy (MSTG-STORAGE-11)")</f>
        <v>Testing the Device-Access-Security Policy (MSTG-STORAGE-11)</v>
      </c>
      <c r="I26" s="94" t="str">
        <f>HYPERLINK(CONCATENATE(BASE_URL,"0x05f-Testing-Local-Authentication.md#testing-confirm-credentials-mstg-auth-1-and-mstg-storage-11"),"Testing Confirm Credentials (MSTG-AUTH-1 and MSTG-STORAGE-11)")</f>
        <v>Testing Confirm Credentials (MSTG-AUTH-1 and MSTG-STORAGE-11)</v>
      </c>
      <c r="J26" s="63"/>
      <c r="K26" s="63"/>
    </row>
    <row r="27" spans="2:11" ht="29">
      <c r="B27" s="48" t="s">
        <v>13</v>
      </c>
      <c r="C27" s="91" t="s">
        <v>292</v>
      </c>
      <c r="D27" s="49" t="s">
        <v>241</v>
      </c>
      <c r="E27" s="49"/>
      <c r="F27" s="45" t="s">
        <v>3</v>
      </c>
      <c r="G27" s="33" t="s">
        <v>72</v>
      </c>
      <c r="H27" s="110" t="str">
        <f>HYPERLINK(CONCATENATE(BASE_URL,"0x04i-Testing-user-interaction.md#testing-user-education-mstg-storage-12"),"Testing User Education (MSTG-STORAGE-12)")</f>
        <v>Testing User Education (MSTG-STORAGE-12)</v>
      </c>
      <c r="I27" s="63"/>
      <c r="J27" s="63"/>
      <c r="K27" s="63"/>
    </row>
    <row r="28" spans="2:11">
      <c r="B28" s="34" t="s">
        <v>14</v>
      </c>
      <c r="C28" s="47"/>
      <c r="D28" s="69" t="s">
        <v>114</v>
      </c>
      <c r="E28" s="35"/>
      <c r="F28" s="47"/>
      <c r="G28" s="35"/>
      <c r="H28" s="106"/>
      <c r="I28" s="36"/>
      <c r="J28" s="36"/>
      <c r="K28" s="36"/>
    </row>
    <row r="29" spans="2:11">
      <c r="B29" s="48" t="s">
        <v>15</v>
      </c>
      <c r="C29" s="91" t="s">
        <v>293</v>
      </c>
      <c r="D29" s="49" t="s">
        <v>242</v>
      </c>
      <c r="E29" s="26" t="s">
        <v>3</v>
      </c>
      <c r="F29" s="45" t="s">
        <v>3</v>
      </c>
      <c r="G29" s="33" t="s">
        <v>71</v>
      </c>
      <c r="H29" s="109" t="str">
        <f>HYPERLINK(CONCATENATE(BASE_URL,"0x05e-Testing-Cryptography.md#testing-key-management-mstg-storage-1-mstg-crypto-1-and-mstg-crypto-5"),"Testing Key Management (MSTG-STORAGE-1, MSTG-CRYPTO-1 and MSTG-CRYPTO-5)")</f>
        <v>Testing Key Management (MSTG-STORAGE-1, MSTG-CRYPTO-1 and MSTG-CRYPTO-5)</v>
      </c>
      <c r="I29" s="109" t="str">
        <f>HYPERLINK(CONCATENATE(BASE_URL,"0x04g-Testing-Cryptography.md#common-configuration-issues-mstg-crypto-1-mstg-crypto-2-and-mstg-crypto-3"),"Common Configuration Issues (MSTG-CRYPTO-1, MSTG-CRYPTO-2 and MSTG-CRYPTO-3)")</f>
        <v>Common Configuration Issues (MSTG-CRYPTO-1, MSTG-CRYPTO-2 and MSTG-CRYPTO-3)</v>
      </c>
      <c r="J29" s="63"/>
      <c r="K29" s="63"/>
    </row>
    <row r="30" spans="2:11" ht="31">
      <c r="B30" s="48" t="s">
        <v>16</v>
      </c>
      <c r="C30" s="91" t="s">
        <v>294</v>
      </c>
      <c r="D30" s="49" t="s">
        <v>139</v>
      </c>
      <c r="E30" s="26" t="s">
        <v>3</v>
      </c>
      <c r="F30" s="45" t="s">
        <v>3</v>
      </c>
      <c r="G30" s="33" t="s">
        <v>71</v>
      </c>
      <c r="H30" s="109" t="str">
        <f>HYPERLINK(CONCATENATE(BASE_URL,"0x04g-Testing-Cryptography.md#common-configuration-issues-mstg-crypto-1-mstg-crypto-2-and-mstg-crypto-3"),"Common Configuration Issues (MSTG-CRYPTO-1, MSTG-CRYPTO-2 and MSTG-CRYPTO-3)")</f>
        <v>Common Configuration Issues (MSTG-CRYPTO-1, MSTG-CRYPTO-2 and MSTG-CRYPTO-3)</v>
      </c>
      <c r="I30" s="108"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0" s="63"/>
      <c r="K30" s="63"/>
    </row>
    <row r="31" spans="2:11" ht="29">
      <c r="B31" s="48" t="s">
        <v>17</v>
      </c>
      <c r="C31" s="91" t="s">
        <v>295</v>
      </c>
      <c r="D31" s="49" t="s">
        <v>140</v>
      </c>
      <c r="E31" s="26" t="s">
        <v>3</v>
      </c>
      <c r="F31" s="45" t="s">
        <v>3</v>
      </c>
      <c r="G31" s="33" t="s">
        <v>64</v>
      </c>
      <c r="H31" s="108"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1" s="109" t="str">
        <f>HYPERLINK(CONCATENATE(BASE_URL,"0x04g-Testing-Cryptography.md#common-configuration-issues-mstg-crypto-1-mstg-crypto-2-and-mstg-crypto-3"),"Common Configuration Issues (MSTG-CRYPTO-1, MSTG-CRYPTO-2 and MSTG-CRYPTO-3)")</f>
        <v>Common Configuration Issues (MSTG-CRYPTO-1, MSTG-CRYPTO-2 and MSTG-CRYPTO-3)</v>
      </c>
      <c r="J31" s="63"/>
      <c r="K31" s="63"/>
    </row>
    <row r="32" spans="2:11" ht="28.9" customHeight="1">
      <c r="B32" s="48" t="s">
        <v>18</v>
      </c>
      <c r="C32" s="91" t="s">
        <v>296</v>
      </c>
      <c r="D32" s="49" t="s">
        <v>141</v>
      </c>
      <c r="E32" s="26" t="s">
        <v>3</v>
      </c>
      <c r="F32" s="45" t="s">
        <v>3</v>
      </c>
      <c r="G32" s="33" t="s">
        <v>72</v>
      </c>
      <c r="H32" s="109"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108"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2" s="63"/>
      <c r="K32" s="63"/>
    </row>
    <row r="33" spans="2:12">
      <c r="B33" s="48" t="s">
        <v>19</v>
      </c>
      <c r="C33" s="91" t="s">
        <v>297</v>
      </c>
      <c r="D33" s="49" t="s">
        <v>142</v>
      </c>
      <c r="E33" s="26" t="s">
        <v>3</v>
      </c>
      <c r="F33" s="45" t="s">
        <v>3</v>
      </c>
      <c r="G33" s="33" t="s">
        <v>72</v>
      </c>
      <c r="H33" s="109" t="str">
        <f>HYPERLINK(CONCATENATE(BASE_URL,"0x05e-Testing-Cryptography.md#testing-key-management-mstg-storage-1-mstg-crypto-1-and-mstg-crypto-5"),"Testing Key Management (MSTG-STORAGE-1, MSTG-CRYPTO-1 and MSTG-CRYPTO-5)")</f>
        <v>Testing Key Management (MSTG-STORAGE-1, MSTG-CRYPTO-1 and MSTG-CRYPTO-5)</v>
      </c>
      <c r="I33" s="63"/>
      <c r="J33" s="63"/>
      <c r="K33" s="63"/>
    </row>
    <row r="34" spans="2:12">
      <c r="B34" s="48" t="s">
        <v>20</v>
      </c>
      <c r="C34" s="91" t="s">
        <v>298</v>
      </c>
      <c r="D34" s="49" t="s">
        <v>143</v>
      </c>
      <c r="E34" s="26" t="s">
        <v>3</v>
      </c>
      <c r="F34" s="45" t="s">
        <v>3</v>
      </c>
      <c r="G34" s="33" t="s">
        <v>71</v>
      </c>
      <c r="H34" s="109" t="str">
        <f>HYPERLINK(CONCATENATE(BASE_URL,"0x05e-Testing-Cryptography.md#testing-random-number-generation-mstg-crypto-6"),"Testing Random Number Generation (MSTG-CRYPTO-6)")</f>
        <v>Testing Random Number Generation (MSTG-CRYPTO-6)</v>
      </c>
      <c r="I34" s="63"/>
      <c r="J34" s="63"/>
      <c r="K34" s="63"/>
    </row>
    <row r="35" spans="2:12">
      <c r="B35" s="34" t="s">
        <v>21</v>
      </c>
      <c r="C35" s="47"/>
      <c r="D35" s="69" t="s">
        <v>115</v>
      </c>
      <c r="E35" s="35"/>
      <c r="F35" s="47"/>
      <c r="G35" s="35"/>
      <c r="H35" s="106"/>
      <c r="I35" s="36"/>
      <c r="J35" s="36"/>
      <c r="K35" s="36"/>
    </row>
    <row r="36" spans="2:12" ht="29">
      <c r="B36" s="89" t="s">
        <v>22</v>
      </c>
      <c r="C36" s="92" t="s">
        <v>299</v>
      </c>
      <c r="D36" s="49" t="s">
        <v>144</v>
      </c>
      <c r="E36" s="26" t="s">
        <v>3</v>
      </c>
      <c r="F36" s="45" t="s">
        <v>3</v>
      </c>
      <c r="G36" s="33" t="s">
        <v>71</v>
      </c>
      <c r="H36" s="109" t="str">
        <f>HYPERLINK(CONCATENATE(BASE_URL,"0x05f-Testing-Local-Authentication.md#testing-confirm-credentials-mstg-auth-1-and-mstg-storage-11"),"Testing Confirm Credentials (MSTG-AUTH-1 and MSTG-STORAGE-11)")</f>
        <v>Testing Confirm Credentials (MSTG-AUTH-1 and MSTG-STORAGE-11)</v>
      </c>
      <c r="I36" s="94"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36" s="94" t="str">
        <f>HYPERLINK(CONCATENATE(BASE_URL,"0x04e-Testing-Authentication-and-Session-Management.md#testing-oauth-20-flows-mstg-auth-1-and-mstg-auth-3"),"Testing OAuth 2.0 Flows (MSTG-AUTH-1 and MSTG-AUTH-3)")</f>
        <v>Testing OAuth 2.0 Flows (MSTG-AUTH-1 and MSTG-AUTH-3)</v>
      </c>
      <c r="K36" s="63"/>
    </row>
    <row r="37" spans="2:12" ht="29">
      <c r="B37" s="89" t="s">
        <v>44</v>
      </c>
      <c r="C37" s="92" t="s">
        <v>300</v>
      </c>
      <c r="D37" s="49" t="s">
        <v>145</v>
      </c>
      <c r="E37" s="26" t="s">
        <v>3</v>
      </c>
      <c r="F37" s="45" t="s">
        <v>3</v>
      </c>
      <c r="G37" s="33" t="s">
        <v>71</v>
      </c>
      <c r="H37" s="109" t="str">
        <f>HYPERLINK(CONCATENATE(BASE_URL,"0x04e-Testing-Authentication-and-Session-Management.md#testing-stateful-session-management-mstg-auth-2"),"Testing Stateful Session Management (MSTG-AUTH-2)")</f>
        <v>Testing Stateful Session Management (MSTG-AUTH-2)</v>
      </c>
      <c r="I37" s="63"/>
      <c r="J37" s="63"/>
      <c r="K37" s="63"/>
    </row>
    <row r="38" spans="2:12" ht="29">
      <c r="B38" s="89" t="s">
        <v>45</v>
      </c>
      <c r="C38" s="92" t="s">
        <v>301</v>
      </c>
      <c r="D38" s="49" t="s">
        <v>146</v>
      </c>
      <c r="E38" s="26" t="s">
        <v>3</v>
      </c>
      <c r="F38" s="45" t="s">
        <v>3</v>
      </c>
      <c r="G38" s="33" t="s">
        <v>71</v>
      </c>
      <c r="H38" s="108" t="str">
        <f>HYPERLINK(CONCATENATE(BASE_URL,"0x04e-Testing-Authentication-and-Session-Management.md#testing-stateless-token-based-authentication-mstg-auth-3"),"Testing Stateless (Token-Based) Authentication (MSTG-AUTH-3)")</f>
        <v>Testing Stateless (Token-Based) Authentication (MSTG-AUTH-3)</v>
      </c>
      <c r="I38" s="94" t="str">
        <f>HYPERLINK(CONCATENATE(BASE_URL,"0x04e-Testing-Authentication-and-Session-Management.md#testing-oauth-20-flows-mstg-auth-1-and-mstg-auth-3"),"Testing OAuth 2.0 Flows (MSTG-AUTH-1 and MSTG-AUTH-3)")</f>
        <v>Testing OAuth 2.0 Flows (MSTG-AUTH-1 and MSTG-AUTH-3)</v>
      </c>
      <c r="J38" s="63"/>
      <c r="K38" s="63"/>
      <c r="L38" s="50"/>
    </row>
    <row r="39" spans="2:12">
      <c r="B39" s="89" t="s">
        <v>23</v>
      </c>
      <c r="C39" s="92" t="s">
        <v>302</v>
      </c>
      <c r="D39" s="49" t="s">
        <v>147</v>
      </c>
      <c r="E39" s="26"/>
      <c r="F39" s="45"/>
      <c r="G39" s="33" t="s">
        <v>71</v>
      </c>
      <c r="H39" s="109" t="str">
        <f>HYPERLINK(CONCATENATE(BASE_URL,"0x04e-Testing-Authentication-and-Session-Management.md#testing-user-logout-mstg-auth-4"),"Testing User Logout (MSTG-AUTH-4)")</f>
        <v>Testing User Logout (MSTG-AUTH-4)</v>
      </c>
      <c r="I39" s="63"/>
      <c r="J39" s="63"/>
      <c r="K39" s="63"/>
      <c r="L39" s="50"/>
    </row>
    <row r="40" spans="2:12">
      <c r="B40" s="89" t="s">
        <v>24</v>
      </c>
      <c r="C40" s="92" t="s">
        <v>303</v>
      </c>
      <c r="D40" s="49" t="s">
        <v>148</v>
      </c>
      <c r="E40" s="26" t="s">
        <v>3</v>
      </c>
      <c r="F40" s="45" t="s">
        <v>3</v>
      </c>
      <c r="G40" s="33" t="s">
        <v>72</v>
      </c>
      <c r="H40" s="109" t="str">
        <f>HYPERLINK(CONCATENATE(BASE_URL,"0x04e-Testing-Authentication-and-Session-Management.md#testing-best-practices-for-passwords-mstg-auth-5-and-mstg-auth-6"),"Testing Best Practices for Passwords (MSTG-AUTH-5 and MSTG-AUTH-6)")</f>
        <v>Testing Best Practices for Passwords (MSTG-AUTH-5 and MSTG-AUTH-6)</v>
      </c>
      <c r="I40" s="63"/>
      <c r="J40" s="63"/>
      <c r="K40" s="63"/>
    </row>
    <row r="41" spans="2:12" ht="31.9" customHeight="1">
      <c r="B41" s="89" t="s">
        <v>46</v>
      </c>
      <c r="C41" s="92" t="s">
        <v>304</v>
      </c>
      <c r="D41" s="49" t="s">
        <v>149</v>
      </c>
      <c r="E41" s="26" t="s">
        <v>3</v>
      </c>
      <c r="F41" s="45" t="s">
        <v>3</v>
      </c>
      <c r="G41" s="33" t="s">
        <v>71</v>
      </c>
      <c r="H41" s="109" t="str">
        <f>HYPERLINK(CONCATENATE(BASE_URL,"0x04e-Testing-Authentication-and-Session-Management.md#testing-best-practices-for-passwords-mstg-auth-5-and-mstg-auth-6"),"Testing Best Practices for Passwords (MSTG-AUTH-5 and MSTG-AUTH-6)")</f>
        <v>Testing Best Practices for Passwords (MSTG-AUTH-5 and MSTG-AUTH-6)</v>
      </c>
      <c r="I41" s="94" t="str">
        <f>HYPERLINK(CONCATENATE(BASE_URL,"0x04e-Testing-Authentication-and-Session-Management.md#dynamic-testing-mstg-auth-6"),"Dynamic Testing (MSTG-AUTH-6)")</f>
        <v>Dynamic Testing (MSTG-AUTH-6)</v>
      </c>
      <c r="J41" s="63"/>
      <c r="K41" s="63"/>
    </row>
    <row r="42" spans="2:12">
      <c r="B42" s="89" t="s">
        <v>47</v>
      </c>
      <c r="C42" s="92" t="s">
        <v>305</v>
      </c>
      <c r="D42" s="49" t="s">
        <v>150</v>
      </c>
      <c r="E42" s="49"/>
      <c r="F42" s="45" t="s">
        <v>3</v>
      </c>
      <c r="G42" s="33" t="s">
        <v>71</v>
      </c>
      <c r="H42" s="109" t="str">
        <f>HYPERLINK(CONCATENATE(BASE_URL,"0x04e-Testing-Authentication-and-Session-Management.md#testing-session-timeout-mstg-auth-7"),"Testing Session Timeout (MSTG-AUTH-7)")</f>
        <v>Testing Session Timeout (MSTG-AUTH-7)</v>
      </c>
      <c r="I42" s="113"/>
      <c r="J42" s="113"/>
      <c r="K42" s="63"/>
    </row>
    <row r="43" spans="2:12" ht="29">
      <c r="B43" s="89" t="s">
        <v>25</v>
      </c>
      <c r="C43" s="92" t="s">
        <v>306</v>
      </c>
      <c r="D43" s="49" t="s">
        <v>151</v>
      </c>
      <c r="E43" s="49"/>
      <c r="F43" s="45" t="s">
        <v>3</v>
      </c>
      <c r="G43" s="33" t="s">
        <v>64</v>
      </c>
      <c r="H43" s="109" t="str">
        <f>HYPERLINK(CONCATENATE(BASE_URL,"0x05f-Testing-Local-Authentication.md#testing-biometric-authentication-mstg-auth-8"),"Testing Biometric Authentication (MSTG-AUTH-8)")</f>
        <v>Testing Biometric Authentication (MSTG-AUTH-8)</v>
      </c>
      <c r="I43" s="63"/>
      <c r="J43" s="63"/>
      <c r="K43" s="63"/>
    </row>
    <row r="44" spans="2:12">
      <c r="B44" s="89" t="s">
        <v>26</v>
      </c>
      <c r="C44" s="92" t="s">
        <v>307</v>
      </c>
      <c r="D44" s="49" t="s">
        <v>152</v>
      </c>
      <c r="E44" s="49"/>
      <c r="F44" s="45" t="s">
        <v>3</v>
      </c>
      <c r="G44" s="33" t="s">
        <v>64</v>
      </c>
      <c r="H44" s="109"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63"/>
      <c r="J44" s="63"/>
      <c r="K44" s="63"/>
    </row>
    <row r="45" spans="2:12">
      <c r="B45" s="89" t="s">
        <v>27</v>
      </c>
      <c r="C45" s="92" t="s">
        <v>308</v>
      </c>
      <c r="D45" s="49" t="s">
        <v>243</v>
      </c>
      <c r="E45" s="49"/>
      <c r="F45" s="45" t="s">
        <v>3</v>
      </c>
      <c r="G45" s="33" t="s">
        <v>64</v>
      </c>
      <c r="H45" s="109"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63"/>
      <c r="J45" s="63"/>
      <c r="K45" s="63"/>
    </row>
    <row r="46" spans="2:12" ht="29">
      <c r="B46" s="89" t="s">
        <v>93</v>
      </c>
      <c r="C46" s="92" t="s">
        <v>309</v>
      </c>
      <c r="D46" s="49" t="s">
        <v>153</v>
      </c>
      <c r="E46" s="49"/>
      <c r="F46" s="45" t="s">
        <v>3</v>
      </c>
      <c r="G46" s="33" t="s">
        <v>64</v>
      </c>
      <c r="H46" s="111" t="str">
        <f>HYPERLINK(CONCATENATE(BASE_URL,"0x04e-Testing-Authentication-and-Session-Management.md#testing-login-activity-and-device-blocking-mstg-auth-11"),"Testing Login Activity and Device Blocking (MSTG-AUTH-11)")</f>
        <v>Testing Login Activity and Device Blocking (MSTG-AUTH-11)</v>
      </c>
      <c r="I46" s="63"/>
      <c r="J46" s="63"/>
      <c r="K46" s="63"/>
    </row>
    <row r="47" spans="2:12">
      <c r="B47" s="34" t="s">
        <v>28</v>
      </c>
      <c r="C47" s="47"/>
      <c r="D47" s="35" t="s">
        <v>116</v>
      </c>
      <c r="E47" s="35"/>
      <c r="F47" s="47"/>
      <c r="G47" s="35"/>
      <c r="H47" s="106"/>
      <c r="I47" s="36"/>
      <c r="J47" s="36"/>
      <c r="K47" s="36"/>
    </row>
    <row r="48" spans="2:12">
      <c r="B48" s="89" t="s">
        <v>29</v>
      </c>
      <c r="C48" s="92" t="s">
        <v>310</v>
      </c>
      <c r="D48" s="49" t="s">
        <v>154</v>
      </c>
      <c r="E48" s="26" t="s">
        <v>3</v>
      </c>
      <c r="F48" s="45" t="s">
        <v>3</v>
      </c>
      <c r="G48" s="33" t="s">
        <v>71</v>
      </c>
      <c r="H48" s="109"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63"/>
      <c r="J48" s="63"/>
      <c r="K48" s="63"/>
    </row>
    <row r="49" spans="2:11" ht="29">
      <c r="B49" s="89" t="s">
        <v>48</v>
      </c>
      <c r="C49" s="92" t="s">
        <v>311</v>
      </c>
      <c r="D49" s="49" t="s">
        <v>155</v>
      </c>
      <c r="E49" s="26" t="s">
        <v>3</v>
      </c>
      <c r="F49" s="45" t="s">
        <v>3</v>
      </c>
      <c r="G49" s="33" t="s">
        <v>71</v>
      </c>
      <c r="H49" s="109"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63"/>
      <c r="J49" s="63"/>
      <c r="K49" s="63"/>
    </row>
    <row r="50" spans="2:11" ht="29">
      <c r="B50" s="89" t="s">
        <v>30</v>
      </c>
      <c r="C50" s="92" t="s">
        <v>312</v>
      </c>
      <c r="D50" s="49" t="s">
        <v>156</v>
      </c>
      <c r="E50" s="26" t="s">
        <v>3</v>
      </c>
      <c r="F50" s="45" t="s">
        <v>3</v>
      </c>
      <c r="G50" s="33" t="s">
        <v>71</v>
      </c>
      <c r="H50" s="109" t="str">
        <f>HYPERLINK(CONCATENATE(BASE_URL,"0x05g-Testing-Network-Communication.md#testing-endpoint-identify-verification-mstg-network-3"),"Testing Endpoint Identify Verification (MSTG-NETWORK-3)")</f>
        <v>Testing Endpoint Identify Verification (MSTG-NETWORK-3)</v>
      </c>
      <c r="I50" s="94"/>
      <c r="J50" s="94"/>
      <c r="K50" s="63"/>
    </row>
    <row r="51" spans="2:11" ht="43.5">
      <c r="B51" s="89" t="s">
        <v>49</v>
      </c>
      <c r="C51" s="92" t="s">
        <v>313</v>
      </c>
      <c r="D51" s="49" t="s">
        <v>157</v>
      </c>
      <c r="E51" s="49"/>
      <c r="F51" s="45" t="s">
        <v>3</v>
      </c>
      <c r="G51" s="33" t="s">
        <v>71</v>
      </c>
      <c r="H51" s="109"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1" s="109" t="str">
        <f>HYPERLINK(CONCATENATE(BASE_URL,"0x05g-Testing-Network-Communication.md#testing-the-network-security-configuration-settings-mstg-network-4"),"Testing the Network Security Configuration settings (MSTG-NETWORK-4)")</f>
        <v>Testing the Network Security Configuration settings (MSTG-NETWORK-4)</v>
      </c>
      <c r="J51" s="63"/>
      <c r="K51" s="63"/>
    </row>
    <row r="52" spans="2:11" ht="29">
      <c r="B52" s="89" t="s">
        <v>31</v>
      </c>
      <c r="C52" s="92" t="s">
        <v>314</v>
      </c>
      <c r="D52" s="49" t="s">
        <v>158</v>
      </c>
      <c r="E52" s="49"/>
      <c r="F52" s="45" t="s">
        <v>3</v>
      </c>
      <c r="G52" s="33" t="s">
        <v>71</v>
      </c>
      <c r="H52" s="109"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63"/>
      <c r="J52" s="63"/>
      <c r="K52" s="63"/>
    </row>
    <row r="53" spans="2:11">
      <c r="B53" s="89" t="s">
        <v>267</v>
      </c>
      <c r="C53" s="92" t="s">
        <v>315</v>
      </c>
      <c r="D53" s="49" t="s">
        <v>159</v>
      </c>
      <c r="E53" s="49"/>
      <c r="F53" s="45" t="s">
        <v>3</v>
      </c>
      <c r="G53" s="33" t="s">
        <v>71</v>
      </c>
      <c r="H53" s="109" t="str">
        <f>HYPERLINK(CONCATENATE(BASE_URL,"0x05g-Testing-Network-Communication.md#testing-the-security-provider-mstg-network-6"),"Testing the Security Provider (MSTG-NETWORK-6)")</f>
        <v>Testing the Security Provider (MSTG-NETWORK-6)</v>
      </c>
      <c r="I53" s="63"/>
      <c r="J53" s="63"/>
      <c r="K53" s="63"/>
    </row>
    <row r="54" spans="2:11">
      <c r="B54" s="34" t="s">
        <v>32</v>
      </c>
      <c r="C54" s="47"/>
      <c r="D54" s="69" t="s">
        <v>117</v>
      </c>
      <c r="E54" s="35"/>
      <c r="F54" s="47"/>
      <c r="G54" s="35"/>
      <c r="H54" s="106"/>
      <c r="I54" s="36"/>
      <c r="J54" s="36"/>
      <c r="K54" s="36"/>
    </row>
    <row r="55" spans="2:11">
      <c r="B55" s="89" t="s">
        <v>50</v>
      </c>
      <c r="C55" s="92" t="s">
        <v>316</v>
      </c>
      <c r="D55" s="49" t="s">
        <v>160</v>
      </c>
      <c r="E55" s="26" t="s">
        <v>3</v>
      </c>
      <c r="F55" s="45" t="s">
        <v>3</v>
      </c>
      <c r="G55" s="33" t="s">
        <v>72</v>
      </c>
      <c r="H55" s="109" t="str">
        <f>HYPERLINK(CONCATENATE(BASE_URL,"0x05h-Testing-Platform-Interaction.md#testing-app-permissions-mstg-platform-1"),"Testing App Permissions (MSTG-PLATFORM-1)")</f>
        <v>Testing App Permissions (MSTG-PLATFORM-1)</v>
      </c>
      <c r="I55" s="63"/>
      <c r="J55" s="63"/>
      <c r="K55" s="63"/>
    </row>
    <row r="56" spans="2:11" ht="29">
      <c r="B56" s="89" t="s">
        <v>51</v>
      </c>
      <c r="C56" s="92" t="s">
        <v>317</v>
      </c>
      <c r="D56" s="49" t="s">
        <v>161</v>
      </c>
      <c r="E56" s="26" t="s">
        <v>3</v>
      </c>
      <c r="F56" s="45" t="s">
        <v>3</v>
      </c>
      <c r="G56" s="33" t="s">
        <v>71</v>
      </c>
      <c r="H56" s="109" t="str">
        <f>HYPERLINK(CONCATENATE(BASE_URL,"0x04h-Testing-Code-Quality.md#testing-for-injection-flaws-mstg-platform-2"),"Testing for Injection Flaws (MSTG-PLATFORM-2)")</f>
        <v>Testing for Injection Flaws (MSTG-PLATFORM-2)</v>
      </c>
      <c r="I56" s="109" t="str">
        <f>HYPERLINK(CONCATENATE(BASE_URL,"0x04h-Testing-Code-Quality.md#testing-for-fragment-injection-mstg-platform-2"),"Testing for Fragment Injection (MSTG-PLATFORM-2)")</f>
        <v>Testing for Fragment Injection (MSTG-PLATFORM-2)</v>
      </c>
      <c r="J56" s="63"/>
      <c r="K56" s="63"/>
    </row>
    <row r="57" spans="2:11" ht="29">
      <c r="B57" s="89" t="s">
        <v>52</v>
      </c>
      <c r="C57" s="92" t="s">
        <v>318</v>
      </c>
      <c r="D57" s="49" t="s">
        <v>162</v>
      </c>
      <c r="E57" s="26" t="s">
        <v>3</v>
      </c>
      <c r="F57" s="45" t="s">
        <v>3</v>
      </c>
      <c r="G57" s="33" t="s">
        <v>71</v>
      </c>
      <c r="H57" s="109" t="str">
        <f>HYPERLINK(CONCATENATE(BASE_URL,"0x05h-Testing-Platform-Interaction.md#testing-custom-url-schemes-mstg-platform-3"),"Testing Custom URL Schemes (MSTG-PLATFORM-3)")</f>
        <v>Testing Custom URL Schemes (MSTG-PLATFORM-3)</v>
      </c>
      <c r="I57" s="63"/>
      <c r="J57" s="63"/>
      <c r="K57" s="63"/>
    </row>
    <row r="58" spans="2:11" ht="29">
      <c r="B58" s="89" t="s">
        <v>53</v>
      </c>
      <c r="C58" s="92" t="s">
        <v>319</v>
      </c>
      <c r="D58" s="49" t="s">
        <v>163</v>
      </c>
      <c r="E58" s="26" t="s">
        <v>3</v>
      </c>
      <c r="F58" s="45" t="s">
        <v>3</v>
      </c>
      <c r="G58" s="33" t="s">
        <v>71</v>
      </c>
      <c r="H58" s="109"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58" s="63"/>
      <c r="J58" s="63"/>
      <c r="K58" s="63"/>
    </row>
    <row r="59" spans="2:11">
      <c r="B59" s="89" t="s">
        <v>54</v>
      </c>
      <c r="C59" s="92" t="s">
        <v>320</v>
      </c>
      <c r="D59" s="49" t="s">
        <v>164</v>
      </c>
      <c r="E59" s="26" t="s">
        <v>3</v>
      </c>
      <c r="F59" s="45" t="s">
        <v>3</v>
      </c>
      <c r="G59" s="33" t="s">
        <v>64</v>
      </c>
      <c r="H59" s="109" t="str">
        <f>HYPERLINK(CONCATENATE(BASE_URL,"0x05h-Testing-Platform-Interaction.md#testing-javascript-execution-in-webviews-mstg-platform-5"),"Testing JavaScript Execution in WebViews (MSTG-PLATFORM-5)")</f>
        <v>Testing JavaScript Execution in WebViews (MSTG-PLATFORM-5)</v>
      </c>
      <c r="I59" s="63"/>
      <c r="J59" s="63"/>
      <c r="K59" s="63"/>
    </row>
    <row r="60" spans="2:11" ht="29">
      <c r="B60" s="89" t="s">
        <v>55</v>
      </c>
      <c r="C60" s="92" t="s">
        <v>321</v>
      </c>
      <c r="D60" s="49" t="s">
        <v>244</v>
      </c>
      <c r="E60" s="26" t="s">
        <v>3</v>
      </c>
      <c r="F60" s="45" t="s">
        <v>3</v>
      </c>
      <c r="G60" s="33" t="s">
        <v>64</v>
      </c>
      <c r="H60" s="109" t="str">
        <f>HYPERLINK(CONCATENATE(BASE_URL,"0x05h-Testing-Platform-Interaction.md#testing-webview-protocol-handlers-mstg-platform-6"),"Testing WebView Protocol Handlers (MSTG-PLATFORM-6)")</f>
        <v>Testing WebView Protocol Handlers (MSTG-PLATFORM-6)</v>
      </c>
      <c r="I60" s="63"/>
      <c r="J60" s="63"/>
      <c r="K60" s="63"/>
    </row>
    <row r="61" spans="2:11" ht="31.9" customHeight="1">
      <c r="B61" s="89" t="s">
        <v>268</v>
      </c>
      <c r="C61" s="92" t="s">
        <v>322</v>
      </c>
      <c r="D61" s="49" t="s">
        <v>165</v>
      </c>
      <c r="E61" s="26" t="s">
        <v>3</v>
      </c>
      <c r="F61" s="45" t="s">
        <v>3</v>
      </c>
      <c r="G61" s="33" t="s">
        <v>64</v>
      </c>
      <c r="H61" s="109"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1" s="63"/>
      <c r="J61" s="63"/>
      <c r="K61" s="63"/>
    </row>
    <row r="62" spans="2:11">
      <c r="B62" s="89" t="s">
        <v>269</v>
      </c>
      <c r="C62" s="92" t="s">
        <v>323</v>
      </c>
      <c r="D62" s="49" t="s">
        <v>166</v>
      </c>
      <c r="E62" s="26" t="s">
        <v>3</v>
      </c>
      <c r="F62" s="45" t="s">
        <v>3</v>
      </c>
      <c r="G62" s="33" t="s">
        <v>71</v>
      </c>
      <c r="H62" s="109" t="str">
        <f>HYPERLINK(CONCATENATE(BASE_URL,"0x05h-Testing-Platform-Interaction.md#testing-object-persistence-mstg-platform-8"),"Testing Object Persistence (MSTG-PLATFORM-8)")</f>
        <v>Testing Object Persistence (MSTG-PLATFORM-8)</v>
      </c>
      <c r="I62" s="63"/>
      <c r="J62" s="63"/>
      <c r="K62" s="63"/>
    </row>
    <row r="63" spans="2:11">
      <c r="B63" s="34" t="s">
        <v>33</v>
      </c>
      <c r="C63" s="47"/>
      <c r="D63" s="35" t="s">
        <v>118</v>
      </c>
      <c r="E63" s="35"/>
      <c r="F63" s="47"/>
      <c r="G63" s="35"/>
      <c r="H63" s="106"/>
      <c r="I63" s="36"/>
      <c r="J63" s="36"/>
      <c r="K63" s="36"/>
    </row>
    <row r="64" spans="2:11" ht="30.65" customHeight="1">
      <c r="B64" s="89" t="s">
        <v>56</v>
      </c>
      <c r="C64" s="92" t="s">
        <v>324</v>
      </c>
      <c r="D64" s="49" t="s">
        <v>245</v>
      </c>
      <c r="E64" s="26" t="s">
        <v>3</v>
      </c>
      <c r="F64" s="45" t="s">
        <v>3</v>
      </c>
      <c r="G64" s="33" t="s">
        <v>71</v>
      </c>
      <c r="H64" s="109" t="str">
        <f>HYPERLINK(CONCATENATE(BASE_URL,"0x05i-Testing-Code-Quality-and-Build-Settings.md#making-sure-that-the-app-is-properly-signed-mstg-code-1"),"Making Sure That the App is Properly Signed (MSTG-CODE-1)")</f>
        <v>Making Sure That the App is Properly Signed (MSTG-CODE-1)</v>
      </c>
      <c r="I64" s="63"/>
      <c r="J64" s="63"/>
      <c r="K64" s="63"/>
    </row>
    <row r="65" spans="2:11" ht="30.65" customHeight="1">
      <c r="B65" s="89" t="s">
        <v>34</v>
      </c>
      <c r="C65" s="92" t="s">
        <v>325</v>
      </c>
      <c r="D65" s="49" t="s">
        <v>167</v>
      </c>
      <c r="E65" s="26" t="s">
        <v>3</v>
      </c>
      <c r="F65" s="45" t="s">
        <v>3</v>
      </c>
      <c r="G65" s="33" t="s">
        <v>64</v>
      </c>
      <c r="H65" s="109" t="str">
        <f>HYPERLINK(CONCATENATE(BASE_URL,"0x05i-Testing-Code-Quality-and-Build-Settings.md#testing-whether-the-app-is-debuggable-mstg-code-2"),"Testing Whether the App is Debuggable (MSTG-CODE-2)")</f>
        <v>Testing Whether the App is Debuggable (MSTG-CODE-2)</v>
      </c>
      <c r="I65" s="63"/>
      <c r="J65" s="63"/>
      <c r="K65" s="63"/>
    </row>
    <row r="66" spans="2:11">
      <c r="B66" s="89" t="s">
        <v>57</v>
      </c>
      <c r="C66" s="92" t="s">
        <v>326</v>
      </c>
      <c r="D66" s="49" t="s">
        <v>168</v>
      </c>
      <c r="E66" s="26" t="s">
        <v>3</v>
      </c>
      <c r="F66" s="45" t="s">
        <v>3</v>
      </c>
      <c r="G66" s="33" t="s">
        <v>71</v>
      </c>
      <c r="H66" s="109" t="str">
        <f>HYPERLINK(CONCATENATE(BASE_URL,"0x05i-Testing-Code-Quality-and-Build-Settings.md#testing-for-debugging-symbols-mstg-code-3"),"Testing for Debugging Symbols (MSTG-CODE-3)")</f>
        <v>Testing for Debugging Symbols (MSTG-CODE-3)</v>
      </c>
      <c r="I66" s="63"/>
      <c r="J66" s="63"/>
      <c r="K66" s="63"/>
    </row>
    <row r="67" spans="2:11">
      <c r="B67" s="89" t="s">
        <v>58</v>
      </c>
      <c r="C67" s="92" t="s">
        <v>327</v>
      </c>
      <c r="D67" s="49" t="s">
        <v>169</v>
      </c>
      <c r="E67" s="26" t="s">
        <v>3</v>
      </c>
      <c r="F67" s="45" t="s">
        <v>3</v>
      </c>
      <c r="G67" s="33" t="s">
        <v>71</v>
      </c>
      <c r="H67" s="109" t="str">
        <f>HYPERLINK(CONCATENATE(BASE_URL,"0x05i-Testing-Code-Quality-and-Build-Settings.md#testing-for-debugging-code-and-verbose-error-logging-mstg-code-4"),"Testing for Debugging Code and Verbose Error Logging (MSTG-CODE-4)")</f>
        <v>Testing for Debugging Code and Verbose Error Logging (MSTG-CODE-4)</v>
      </c>
      <c r="I67" s="63"/>
      <c r="J67" s="63"/>
      <c r="K67" s="63"/>
    </row>
    <row r="68" spans="2:11">
      <c r="B68" s="89" t="s">
        <v>59</v>
      </c>
      <c r="C68" s="92" t="s">
        <v>328</v>
      </c>
      <c r="D68" s="49" t="s">
        <v>170</v>
      </c>
      <c r="E68" s="26" t="s">
        <v>3</v>
      </c>
      <c r="F68" s="45" t="s">
        <v>3</v>
      </c>
      <c r="G68" s="33" t="s">
        <v>64</v>
      </c>
      <c r="H68" s="111" t="str">
        <f>HYPERLINK(CONCATENATE(BASE_URL,"0x05i-Testing-Code-Quality-and-Build-Settings.md#checking-for-weaknesses-in-third-party-libraries-mstg-code-5"),"Checking for Weaknesses in Third Party Libraries (MSTG-CODE-5)")</f>
        <v>Checking for Weaknesses in Third Party Libraries (MSTG-CODE-5)</v>
      </c>
      <c r="I68" s="63"/>
      <c r="J68" s="63"/>
      <c r="K68" s="63"/>
    </row>
    <row r="69" spans="2:11">
      <c r="B69" s="89" t="s">
        <v>35</v>
      </c>
      <c r="C69" s="92" t="s">
        <v>329</v>
      </c>
      <c r="D69" s="49" t="s">
        <v>171</v>
      </c>
      <c r="E69" s="26" t="s">
        <v>3</v>
      </c>
      <c r="F69" s="45" t="s">
        <v>3</v>
      </c>
      <c r="G69" s="33" t="s">
        <v>71</v>
      </c>
      <c r="H69" s="109" t="str">
        <f>HYPERLINK(CONCATENATE(BASE_URL,"0x05i-Testing-Code-Quality-and-Build-Settings.md#testing-exception-handling-mstg-code-6-and-mstg-code-7"),"Testing Exception Handling (MSTG-CODE-6 and MSTG-CODE-7)")</f>
        <v>Testing Exception Handling (MSTG-CODE-6 and MSTG-CODE-7)</v>
      </c>
      <c r="I69" s="63"/>
      <c r="J69" s="63"/>
      <c r="K69" s="63"/>
    </row>
    <row r="70" spans="2:11">
      <c r="B70" s="89" t="s">
        <v>36</v>
      </c>
      <c r="C70" s="92" t="s">
        <v>330</v>
      </c>
      <c r="D70" s="49" t="s">
        <v>172</v>
      </c>
      <c r="E70" s="26" t="s">
        <v>3</v>
      </c>
      <c r="F70" s="45" t="s">
        <v>3</v>
      </c>
      <c r="G70" s="33" t="s">
        <v>71</v>
      </c>
      <c r="H70" s="109" t="str">
        <f>HYPERLINK(CONCATENATE(BASE_URL,"0x05i-Testing-Code-Quality-and-Build-Settings.md#testing-exception-handling-mstg-code-6-and-mstg-code-7"),"Testing Exception Handling (MSTG-CODE-6 and MSTG-CODE-7)")</f>
        <v>Testing Exception Handling (MSTG-CODE-6 and MSTG-CODE-7)</v>
      </c>
      <c r="I70" s="63"/>
      <c r="J70" s="63"/>
      <c r="K70" s="63"/>
    </row>
    <row r="71" spans="2:11">
      <c r="B71" s="89" t="s">
        <v>37</v>
      </c>
      <c r="C71" s="92" t="s">
        <v>331</v>
      </c>
      <c r="D71" s="49" t="s">
        <v>173</v>
      </c>
      <c r="E71" s="26" t="s">
        <v>3</v>
      </c>
      <c r="F71" s="45" t="s">
        <v>3</v>
      </c>
      <c r="G71" s="33" t="s">
        <v>71</v>
      </c>
      <c r="H71" s="109" t="str">
        <f>HYPERLINK(CONCATENATE(BASE_URL,"0x04h-Testing-Code-Quality.md#memory-corruption-bugs-mstg-code-8"),"Memory Corruption Bugs (MSTG-CODE-8)")</f>
        <v>Memory Corruption Bugs (MSTG-CODE-8)</v>
      </c>
      <c r="I71" s="63"/>
      <c r="J71" s="63"/>
      <c r="K71" s="63"/>
    </row>
    <row r="72" spans="2:11" ht="29">
      <c r="B72" s="89" t="s">
        <v>95</v>
      </c>
      <c r="C72" s="92" t="s">
        <v>332</v>
      </c>
      <c r="D72" s="49" t="s">
        <v>246</v>
      </c>
      <c r="E72" s="26" t="s">
        <v>3</v>
      </c>
      <c r="F72" s="45" t="s">
        <v>3</v>
      </c>
      <c r="G72" s="33" t="s">
        <v>64</v>
      </c>
      <c r="H72" s="109" t="str">
        <f>HYPERLINK(CONCATENATE(BASE_URL,"0x05i-Testing-Code-Quality-and-Build-Settings.md#make-sure-that-free-security-features-are-activated-mstg-code-9"),"Make Sure That Free Security Features Are Activated (MSTG-CODE-9)")</f>
        <v>Make Sure That Free Security Features Are Activated (MSTG-CODE-9)</v>
      </c>
      <c r="I72" s="63"/>
      <c r="J72" s="63"/>
      <c r="K72" s="63"/>
    </row>
    <row r="73" spans="2:11">
      <c r="B73" s="37"/>
      <c r="C73" s="39"/>
      <c r="D73" s="38"/>
      <c r="E73" s="39"/>
      <c r="F73" s="39"/>
      <c r="G73" s="39"/>
      <c r="H73" s="39"/>
      <c r="I73" s="40"/>
      <c r="J73" s="40"/>
      <c r="K73" s="40"/>
    </row>
    <row r="74" spans="2:11">
      <c r="B74" s="41"/>
      <c r="C74" s="41"/>
      <c r="D74" s="42"/>
      <c r="E74" s="41"/>
      <c r="F74" s="41"/>
      <c r="G74" s="41"/>
      <c r="H74" s="41"/>
      <c r="I74" s="41"/>
      <c r="J74" s="41"/>
      <c r="K74" s="41"/>
    </row>
    <row r="75" spans="2:11">
      <c r="B75" s="41"/>
      <c r="C75" s="41"/>
      <c r="D75" s="49"/>
      <c r="E75" s="41"/>
      <c r="F75" s="41"/>
      <c r="G75" s="41"/>
      <c r="H75" s="41"/>
      <c r="I75" s="41"/>
      <c r="J75" s="41"/>
      <c r="K75" s="41"/>
    </row>
    <row r="76" spans="2:11">
      <c r="B76" s="41"/>
      <c r="C76" s="41"/>
      <c r="D76" s="42"/>
      <c r="E76" s="41"/>
      <c r="F76" s="41"/>
      <c r="G76" s="41"/>
      <c r="H76" s="41"/>
      <c r="I76" s="41"/>
      <c r="J76" s="41"/>
      <c r="K76" s="41"/>
    </row>
    <row r="77" spans="2:11">
      <c r="B77" s="72" t="s">
        <v>215</v>
      </c>
      <c r="C77" s="72"/>
      <c r="D77" s="42"/>
      <c r="E77" s="41"/>
      <c r="F77" s="41"/>
      <c r="G77" s="41"/>
      <c r="H77" s="41"/>
      <c r="I77" s="41"/>
      <c r="J77" s="41"/>
      <c r="K77" s="41"/>
    </row>
    <row r="78" spans="2:11">
      <c r="B78" s="73" t="s">
        <v>220</v>
      </c>
      <c r="C78" s="73"/>
      <c r="D78" s="73" t="s">
        <v>216</v>
      </c>
      <c r="E78" s="41"/>
      <c r="F78" s="41"/>
      <c r="G78" s="41"/>
      <c r="H78" s="41"/>
      <c r="I78" s="41"/>
      <c r="J78" s="41"/>
      <c r="K78" s="41"/>
    </row>
    <row r="79" spans="2:11">
      <c r="B79" s="43" t="s">
        <v>71</v>
      </c>
      <c r="C79" s="93"/>
      <c r="D79" s="74" t="s">
        <v>217</v>
      </c>
      <c r="E79" s="41"/>
      <c r="F79" s="41"/>
      <c r="G79" s="41"/>
      <c r="H79" s="41"/>
      <c r="I79" s="41"/>
      <c r="J79" s="41"/>
      <c r="K79" s="41"/>
    </row>
    <row r="80" spans="2:11">
      <c r="B80" s="43" t="s">
        <v>72</v>
      </c>
      <c r="C80" s="93"/>
      <c r="D80" s="74" t="s">
        <v>218</v>
      </c>
      <c r="E80" s="41"/>
      <c r="F80" s="41"/>
      <c r="G80" s="41"/>
      <c r="H80" s="41"/>
      <c r="I80" s="41"/>
      <c r="J80" s="41"/>
      <c r="K80" s="41"/>
    </row>
    <row r="81" spans="2:11">
      <c r="B81" s="43" t="s">
        <v>64</v>
      </c>
      <c r="C81" s="93"/>
      <c r="D81" s="74" t="s">
        <v>219</v>
      </c>
      <c r="E81" s="41"/>
      <c r="F81" s="41"/>
      <c r="G81" s="41"/>
      <c r="H81" s="41"/>
      <c r="I81" s="41"/>
      <c r="J81" s="41"/>
      <c r="K81" s="41"/>
    </row>
    <row r="82" spans="2:11">
      <c r="B82" s="41"/>
      <c r="C82" s="41"/>
      <c r="D82" s="42"/>
      <c r="E82" s="41"/>
      <c r="F82" s="41"/>
      <c r="G82" s="41"/>
      <c r="H82" s="41"/>
      <c r="I82" s="112"/>
      <c r="J82" s="112"/>
      <c r="K82" s="24"/>
    </row>
    <row r="83" spans="2:11">
      <c r="B83" s="41"/>
      <c r="C83" s="41"/>
      <c r="D83" s="42"/>
      <c r="E83" s="41"/>
      <c r="F83" s="41"/>
      <c r="G83" s="41"/>
      <c r="H83" s="41"/>
      <c r="I83" s="112"/>
      <c r="J83" s="112"/>
      <c r="K83" s="24"/>
    </row>
    <row r="84" spans="2:11">
      <c r="B84" s="41"/>
      <c r="C84" s="41"/>
      <c r="D84" s="42"/>
      <c r="E84" s="41"/>
      <c r="F84" s="41"/>
      <c r="G84" s="41"/>
      <c r="H84" s="41"/>
      <c r="I84" s="112"/>
      <c r="J84" s="112"/>
      <c r="K84" s="24"/>
    </row>
    <row r="85" spans="2:11">
      <c r="B85" s="24"/>
      <c r="C85" s="24"/>
      <c r="D85" s="52"/>
      <c r="E85" s="24"/>
      <c r="F85" s="24"/>
      <c r="G85" s="24"/>
      <c r="H85" s="112"/>
      <c r="I85" s="112"/>
      <c r="J85" s="112"/>
      <c r="K85" s="24"/>
    </row>
  </sheetData>
  <mergeCells count="3">
    <mergeCell ref="B1:I1"/>
    <mergeCell ref="H4:I4"/>
    <mergeCell ref="H3:J3"/>
  </mergeCells>
  <dataValidations count="2">
    <dataValidation type="list" allowBlank="1" showInputMessage="1" showErrorMessage="1" sqref="G74:G1048576 I74:K1048576" xr:uid="{00000000-0002-0000-0200-000000000000}">
      <formula1>"Yes,No,N/A"</formula1>
    </dataValidation>
    <dataValidation type="list" allowBlank="1" showInputMessage="1" showErrorMessage="1" sqref="G29:G34 G16:G27 G36:G46 G48:G53 G64:G72 G5:G14 G55:G62" xr:uid="{00000000-0002-0000-0200-000001000000}">
      <formula1>"Pass,Fail,N/A"</formula1>
    </dataValidation>
  </dataValidation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9"/>
  <sheetViews>
    <sheetView zoomScale="85" zoomScaleNormal="85" zoomScalePageLayoutView="130" workbookViewId="0">
      <selection activeCell="D5" sqref="D5"/>
    </sheetView>
  </sheetViews>
  <sheetFormatPr baseColWidth="10" defaultColWidth="11" defaultRowHeight="15.5"/>
  <cols>
    <col min="1" max="1" width="1.75" customWidth="1"/>
    <col min="2" max="2" width="7.25" customWidth="1"/>
    <col min="3" max="3" width="18.6640625" customWidth="1"/>
    <col min="4" max="4" width="93.25" customWidth="1"/>
    <col min="7" max="7" width="69.25" customWidth="1"/>
    <col min="8" max="8" width="30.75" customWidth="1"/>
  </cols>
  <sheetData>
    <row r="1" spans="2:8" ht="18.5">
      <c r="B1" s="7" t="s">
        <v>186</v>
      </c>
      <c r="C1" s="7"/>
      <c r="D1" s="24"/>
      <c r="E1" s="24"/>
      <c r="F1" s="24"/>
      <c r="G1" s="112"/>
      <c r="H1" s="24"/>
    </row>
    <row r="2" spans="2:8">
      <c r="B2" s="24"/>
      <c r="C2" s="24"/>
      <c r="D2" s="24"/>
      <c r="E2" s="24"/>
      <c r="F2" s="24"/>
      <c r="G2" s="112"/>
      <c r="H2" s="24"/>
    </row>
    <row r="3" spans="2:8">
      <c r="B3" s="70" t="s">
        <v>120</v>
      </c>
      <c r="C3" s="28" t="s">
        <v>270</v>
      </c>
      <c r="D3" s="67" t="s">
        <v>119</v>
      </c>
      <c r="E3" s="28" t="s">
        <v>38</v>
      </c>
      <c r="F3" s="75" t="s">
        <v>223</v>
      </c>
      <c r="G3" s="114" t="s">
        <v>347</v>
      </c>
      <c r="H3" s="76" t="s">
        <v>225</v>
      </c>
    </row>
    <row r="4" spans="2:8">
      <c r="B4" s="34"/>
      <c r="C4" s="47"/>
      <c r="D4" s="69" t="s">
        <v>185</v>
      </c>
      <c r="E4" s="35"/>
      <c r="F4" s="35"/>
      <c r="G4" s="115"/>
      <c r="H4" s="36"/>
    </row>
    <row r="5" spans="2:8" ht="29">
      <c r="B5" s="62" t="s">
        <v>250</v>
      </c>
      <c r="C5" s="90" t="s">
        <v>333</v>
      </c>
      <c r="D5" s="32" t="s">
        <v>174</v>
      </c>
      <c r="E5" s="25" t="s">
        <v>3</v>
      </c>
      <c r="F5" s="33" t="s">
        <v>71</v>
      </c>
      <c r="G5" s="116" t="str">
        <f>HYPERLINK(CONCATENATE(BASE_URL,"0x05j-Testing-Resiliency-Against-Reverse-Engineering.md#testing-root-detection-mstg-resilience-1"),"Testing Root Detection (MSTG-RESILIENCE-1)")</f>
        <v>Testing Root Detection (MSTG-RESILIENCE-1)</v>
      </c>
      <c r="H5" s="63"/>
    </row>
    <row r="6" spans="2:8" ht="31.9" customHeight="1">
      <c r="B6" s="62" t="s">
        <v>251</v>
      </c>
      <c r="C6" s="90" t="s">
        <v>344</v>
      </c>
      <c r="D6" s="32" t="s">
        <v>175</v>
      </c>
      <c r="E6" s="25" t="s">
        <v>3</v>
      </c>
      <c r="F6" s="33" t="s">
        <v>72</v>
      </c>
      <c r="G6" s="117" t="str">
        <f>HYPERLINK(CONCATENATE(BASE_URL,"0x05j-Testing-Resiliency-Against-Reverse-Engineering.md#testing-anti-debugging-detection-mstg-resilience-2"),"Testing Anti-Debugging Detection (MSTG-RESILIENCE-2)")</f>
        <v>Testing Anti-Debugging Detection (MSTG-RESILIENCE-2)</v>
      </c>
      <c r="H6" s="63"/>
    </row>
    <row r="7" spans="2:8">
      <c r="B7" s="62" t="s">
        <v>252</v>
      </c>
      <c r="C7" s="90" t="s">
        <v>334</v>
      </c>
      <c r="D7" s="32" t="s">
        <v>176</v>
      </c>
      <c r="E7" s="25" t="s">
        <v>3</v>
      </c>
      <c r="F7" s="33" t="s">
        <v>72</v>
      </c>
      <c r="G7" s="116" t="str">
        <f>HYPERLINK(CONCATENATE(BASE_URL,"0x05j-Testing-Resiliency-Against-Reverse-Engineering.md#testing-file-integrity-checks-mstg-resilience-3"),"Testing File Integrity Checks (MSTG-RESILIENCE-3)")</f>
        <v>Testing File Integrity Checks (MSTG-RESILIENCE-3)</v>
      </c>
      <c r="H7" s="63"/>
    </row>
    <row r="8" spans="2:8">
      <c r="B8" s="62" t="s">
        <v>253</v>
      </c>
      <c r="C8" s="90" t="s">
        <v>335</v>
      </c>
      <c r="D8" s="32" t="s">
        <v>177</v>
      </c>
      <c r="E8" s="25" t="s">
        <v>3</v>
      </c>
      <c r="F8" s="33" t="s">
        <v>72</v>
      </c>
      <c r="G8" s="109" t="str">
        <f>HYPERLINK(CONCATENATE(BASE_URL,"0x05j-Testing-Resiliency-Against-Reverse-Engineering.md#testing-reverse-engineering-tools-detection-mstg-resilience-4"),"Testing Reverse Engineering Tools Detection (MSTG-RESILIENCE-4)")</f>
        <v>Testing Reverse Engineering Tools Detection (MSTG-RESILIENCE-4)</v>
      </c>
      <c r="H8" s="63"/>
    </row>
    <row r="9" spans="2:8">
      <c r="B9" s="62" t="s">
        <v>254</v>
      </c>
      <c r="C9" s="90" t="s">
        <v>336</v>
      </c>
      <c r="D9" s="32" t="s">
        <v>178</v>
      </c>
      <c r="E9" s="25" t="s">
        <v>3</v>
      </c>
      <c r="F9" s="33" t="s">
        <v>72</v>
      </c>
      <c r="G9" s="116" t="str">
        <f>HYPERLINK(CONCATENATE(BASE_URL,"0x05j-Testing-Resiliency-Against-Reverse-Engineering.md#testing-emulator-detection-mstg-resilience-5"),"Testing Emulator Detection (MSTG-RESILIENCE-5)")</f>
        <v>Testing Emulator Detection (MSTG-RESILIENCE-5)</v>
      </c>
      <c r="H9" s="63"/>
    </row>
    <row r="10" spans="2:8">
      <c r="B10" s="62" t="s">
        <v>255</v>
      </c>
      <c r="C10" s="90" t="s">
        <v>337</v>
      </c>
      <c r="D10" s="32" t="s">
        <v>179</v>
      </c>
      <c r="E10" s="25" t="s">
        <v>3</v>
      </c>
      <c r="F10" s="33" t="s">
        <v>64</v>
      </c>
      <c r="G10" s="109" t="str">
        <f>HYPERLINK(CONCATENATE(BASE_URL,"0x05j-Testing-Resiliency-Against-Reverse-Engineering.md#testing-run-time-integrity-checks-mstg-resilience-6"),"Testing Run Time Integrity Checks (MSTG-RESILIENCE-6)")</f>
        <v>Testing Run Time Integrity Checks (MSTG-RESILIENCE-6)</v>
      </c>
      <c r="H10" s="63"/>
    </row>
    <row r="11" spans="2:8" ht="29">
      <c r="B11" s="62" t="s">
        <v>256</v>
      </c>
      <c r="C11" s="90" t="s">
        <v>338</v>
      </c>
      <c r="D11" s="32" t="s">
        <v>249</v>
      </c>
      <c r="E11" s="25" t="s">
        <v>3</v>
      </c>
      <c r="F11" s="33" t="s">
        <v>72</v>
      </c>
      <c r="G11" s="118" t="s">
        <v>348</v>
      </c>
      <c r="H11" s="63"/>
    </row>
    <row r="12" spans="2:8" ht="31.9" customHeight="1">
      <c r="B12" s="62" t="s">
        <v>257</v>
      </c>
      <c r="C12" s="90" t="s">
        <v>339</v>
      </c>
      <c r="D12" s="32" t="s">
        <v>180</v>
      </c>
      <c r="E12" s="25" t="s">
        <v>3</v>
      </c>
      <c r="F12" s="33" t="s">
        <v>72</v>
      </c>
      <c r="G12" s="119" t="s">
        <v>81</v>
      </c>
      <c r="H12" s="63"/>
    </row>
    <row r="13" spans="2:8" ht="29">
      <c r="B13" s="62" t="s">
        <v>97</v>
      </c>
      <c r="C13" s="90" t="s">
        <v>340</v>
      </c>
      <c r="D13" s="32" t="s">
        <v>181</v>
      </c>
      <c r="E13" s="25" t="s">
        <v>3</v>
      </c>
      <c r="F13" s="33" t="s">
        <v>71</v>
      </c>
      <c r="G13" s="109" t="str">
        <f>HYPERLINK(CONCATENATE(BASE_URL,"0x05j-Testing-Resiliency-Against-Reverse-Engineering.md#testing-obfuscation-mstg-resilience-9"),"Testing Obfuscation (MSTG-RESILIENCE-9)")</f>
        <v>Testing Obfuscation (MSTG-RESILIENCE-9)</v>
      </c>
      <c r="H13" s="63"/>
    </row>
    <row r="14" spans="2:8">
      <c r="B14" s="34"/>
      <c r="C14" s="47"/>
      <c r="D14" s="69" t="s">
        <v>183</v>
      </c>
      <c r="E14" s="35"/>
      <c r="F14" s="35"/>
      <c r="G14" s="115"/>
      <c r="H14" s="36"/>
    </row>
    <row r="15" spans="2:8" ht="29">
      <c r="B15" s="62" t="s">
        <v>60</v>
      </c>
      <c r="C15" s="90" t="s">
        <v>341</v>
      </c>
      <c r="D15" s="32" t="s">
        <v>248</v>
      </c>
      <c r="E15" s="25" t="s">
        <v>3</v>
      </c>
      <c r="F15" s="33" t="s">
        <v>71</v>
      </c>
      <c r="G15" s="109" t="str">
        <f>HYPERLINK(CONCATENATE(BASE_URL,"0x05j-Testing-Resiliency-Against-Reverse-Engineering.md#testing-device-binding-mstg-resilience-10"),"Testing Device Binding (MSTG-RESILIENCE-10)")</f>
        <v>Testing Device Binding (MSTG-RESILIENCE-10)</v>
      </c>
      <c r="H15" s="63"/>
    </row>
    <row r="16" spans="2:8">
      <c r="B16" s="34"/>
      <c r="C16" s="47"/>
      <c r="D16" s="69" t="s">
        <v>184</v>
      </c>
      <c r="E16" s="35"/>
      <c r="F16" s="35"/>
      <c r="G16" s="115"/>
      <c r="H16" s="36"/>
    </row>
    <row r="17" spans="2:8" ht="43.5">
      <c r="B17" s="62" t="s">
        <v>258</v>
      </c>
      <c r="C17" s="90" t="s">
        <v>342</v>
      </c>
      <c r="D17" s="32" t="s">
        <v>182</v>
      </c>
      <c r="E17" s="25" t="s">
        <v>3</v>
      </c>
      <c r="F17" s="33" t="s">
        <v>71</v>
      </c>
      <c r="G17" s="109" t="str">
        <f>HYPERLINK(CONCATENATE(BASE_URL,"0x05j-Testing-Resiliency-Against-Reverse-Engineering.md#testing-obfuscation-mstg-resilience-9"),"Testing Obfuscation (MSTG-RESILIENCE-9)")</f>
        <v>Testing Obfuscation (MSTG-RESILIENCE-9)</v>
      </c>
      <c r="H17" s="63"/>
    </row>
    <row r="18" spans="2:8" ht="72.5">
      <c r="B18" s="62" t="s">
        <v>259</v>
      </c>
      <c r="C18" s="90" t="s">
        <v>343</v>
      </c>
      <c r="D18" s="32" t="s">
        <v>247</v>
      </c>
      <c r="E18" s="25" t="s">
        <v>3</v>
      </c>
      <c r="F18" s="33" t="s">
        <v>71</v>
      </c>
      <c r="G18" s="119" t="s">
        <v>348</v>
      </c>
      <c r="H18" s="63"/>
    </row>
    <row r="19" spans="2:8">
      <c r="B19" s="37"/>
      <c r="C19" s="39"/>
      <c r="D19" s="38"/>
      <c r="E19" s="39"/>
      <c r="F19" s="39"/>
      <c r="G19" s="120"/>
      <c r="H19" s="40"/>
    </row>
    <row r="20" spans="2:8">
      <c r="B20" s="41"/>
      <c r="C20" s="41"/>
      <c r="D20" s="41"/>
      <c r="E20" s="41"/>
      <c r="F20" s="41"/>
      <c r="G20" s="41"/>
      <c r="H20" s="41"/>
    </row>
    <row r="21" spans="2:8">
      <c r="B21" s="41"/>
      <c r="C21" s="41"/>
      <c r="D21" s="41"/>
      <c r="E21" s="41"/>
      <c r="F21" s="41"/>
      <c r="G21" s="41"/>
      <c r="H21" s="41"/>
    </row>
    <row r="22" spans="2:8">
      <c r="B22" s="72" t="s">
        <v>215</v>
      </c>
      <c r="C22" s="72"/>
      <c r="D22" s="42"/>
      <c r="E22" s="41"/>
      <c r="F22" s="41"/>
      <c r="G22" s="41"/>
      <c r="H22" s="41"/>
    </row>
    <row r="23" spans="2:8">
      <c r="B23" s="73" t="s">
        <v>220</v>
      </c>
      <c r="C23" s="73"/>
      <c r="D23" s="73" t="s">
        <v>216</v>
      </c>
      <c r="E23" s="41"/>
      <c r="F23" s="41"/>
      <c r="G23" s="41"/>
      <c r="H23" s="41"/>
    </row>
    <row r="24" spans="2:8">
      <c r="B24" s="43" t="s">
        <v>71</v>
      </c>
      <c r="C24" s="93"/>
      <c r="D24" s="74" t="s">
        <v>217</v>
      </c>
      <c r="E24" s="41"/>
      <c r="F24" s="41"/>
      <c r="G24" s="41"/>
      <c r="H24" s="41"/>
    </row>
    <row r="25" spans="2:8">
      <c r="B25" s="43" t="s">
        <v>72</v>
      </c>
      <c r="C25" s="93"/>
      <c r="D25" s="74" t="s">
        <v>218</v>
      </c>
      <c r="E25" s="41"/>
      <c r="F25" s="41"/>
      <c r="G25" s="41"/>
      <c r="H25" s="41"/>
    </row>
    <row r="26" spans="2:8">
      <c r="B26" s="43" t="s">
        <v>64</v>
      </c>
      <c r="C26" s="93"/>
      <c r="D26" s="74" t="s">
        <v>219</v>
      </c>
      <c r="E26" s="41"/>
      <c r="F26" s="41"/>
      <c r="G26" s="41"/>
      <c r="H26" s="41"/>
    </row>
    <row r="27" spans="2:8">
      <c r="B27" s="24"/>
      <c r="C27" s="24"/>
      <c r="D27" s="24"/>
      <c r="E27" s="24"/>
      <c r="F27" s="24"/>
      <c r="G27" s="112"/>
      <c r="H27" s="24"/>
    </row>
    <row r="28" spans="2:8">
      <c r="B28" s="24"/>
      <c r="C28" s="24"/>
      <c r="D28" s="24"/>
      <c r="E28" s="24"/>
      <c r="F28" s="24"/>
      <c r="G28" s="112"/>
      <c r="H28" s="24"/>
    </row>
    <row r="29" spans="2:8">
      <c r="B29" s="24"/>
      <c r="C29" s="24"/>
      <c r="D29" s="24"/>
      <c r="E29" s="24"/>
      <c r="F29" s="24"/>
      <c r="G29" s="112"/>
      <c r="H29" s="24"/>
    </row>
  </sheetData>
  <dataValidations count="1">
    <dataValidation type="list" allowBlank="1" showInputMessage="1" showErrorMessage="1" sqref="F17:F18 F15 F5:F13"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85"/>
  <sheetViews>
    <sheetView topLeftCell="A27" zoomScale="70" zoomScaleNormal="70" zoomScaleSheetLayoutView="98" zoomScalePageLayoutView="130" workbookViewId="0">
      <selection activeCell="F80" sqref="F80"/>
    </sheetView>
  </sheetViews>
  <sheetFormatPr baseColWidth="10" defaultColWidth="11" defaultRowHeight="15.5"/>
  <cols>
    <col min="1" max="1" width="1.75" customWidth="1"/>
    <col min="2" max="2" width="8" customWidth="1"/>
    <col min="3" max="3" width="17.1640625" customWidth="1"/>
    <col min="4" max="4" width="97.25" customWidth="1"/>
    <col min="8" max="8" width="91.58203125" customWidth="1"/>
    <col min="9" max="10" width="75.4140625" customWidth="1"/>
    <col min="11" max="11" width="30.75" customWidth="1"/>
    <col min="12" max="13" width="10.75" customWidth="1"/>
  </cols>
  <sheetData>
    <row r="1" spans="2:11" ht="18.5">
      <c r="B1" s="71" t="s">
        <v>188</v>
      </c>
      <c r="C1" s="71"/>
      <c r="D1" s="44"/>
      <c r="E1" s="44"/>
      <c r="F1" s="44"/>
      <c r="G1" s="44"/>
      <c r="H1" s="44"/>
      <c r="I1" s="44"/>
      <c r="J1" s="102"/>
      <c r="K1" s="44"/>
    </row>
    <row r="2" spans="2:11">
      <c r="B2" s="44"/>
      <c r="C2" s="44"/>
      <c r="D2" s="44"/>
      <c r="E2" s="44"/>
      <c r="F2" s="44"/>
      <c r="G2" s="44"/>
      <c r="H2" s="44"/>
      <c r="I2" s="44"/>
      <c r="J2" s="44"/>
      <c r="K2" s="44"/>
    </row>
    <row r="3" spans="2:11">
      <c r="B3" s="27" t="s">
        <v>0</v>
      </c>
      <c r="C3" s="28" t="s">
        <v>270</v>
      </c>
      <c r="D3" s="67" t="s">
        <v>111</v>
      </c>
      <c r="E3" s="75" t="s">
        <v>221</v>
      </c>
      <c r="F3" s="75" t="s">
        <v>222</v>
      </c>
      <c r="G3" s="75" t="s">
        <v>223</v>
      </c>
      <c r="H3" s="176" t="s">
        <v>224</v>
      </c>
      <c r="I3" s="176"/>
      <c r="J3" s="177"/>
      <c r="K3" s="76" t="s">
        <v>225</v>
      </c>
    </row>
    <row r="4" spans="2:11">
      <c r="B4" s="29" t="s">
        <v>1</v>
      </c>
      <c r="C4" s="30"/>
      <c r="D4" s="68" t="s">
        <v>112</v>
      </c>
      <c r="E4" s="30"/>
      <c r="F4" s="30"/>
      <c r="G4" s="30"/>
      <c r="H4" s="174"/>
      <c r="I4" s="175"/>
      <c r="J4" s="103"/>
      <c r="K4" s="31"/>
    </row>
    <row r="5" spans="2:11">
      <c r="B5" s="62" t="s">
        <v>2</v>
      </c>
      <c r="C5" s="90" t="s">
        <v>271</v>
      </c>
      <c r="D5" s="32" t="s">
        <v>121</v>
      </c>
      <c r="E5" s="26" t="s">
        <v>3</v>
      </c>
      <c r="F5" s="45" t="s">
        <v>3</v>
      </c>
      <c r="G5" s="33" t="s">
        <v>64</v>
      </c>
      <c r="H5" s="104" t="str">
        <f>HYPERLINK(CONCATENATE(
BASE_URL,
"0x04b-Mobile-App-Security-Testing.md#architectural-information"),
"Architectural Information")</f>
        <v>Architectural Information</v>
      </c>
      <c r="I5" s="63"/>
      <c r="J5" s="63"/>
      <c r="K5" s="63"/>
    </row>
    <row r="6" spans="2:11">
      <c r="B6" s="62" t="s">
        <v>260</v>
      </c>
      <c r="C6" s="90" t="s">
        <v>272</v>
      </c>
      <c r="D6" s="32" t="s">
        <v>238</v>
      </c>
      <c r="E6" s="26" t="s">
        <v>3</v>
      </c>
      <c r="F6" s="45" t="s">
        <v>3</v>
      </c>
      <c r="G6" s="33" t="s">
        <v>64</v>
      </c>
      <c r="H6" s="104" t="str">
        <f>HYPERLINK(CONCATENATE(
BASE_URL,
"0x04h-Testing-Code-Quality.md#injection-flaws-mstg-arch-2-and-mstg-platform-2"),
"Injection Flaws (MSTG-ARCH-2 and MSTG-PLATFORM-2)")</f>
        <v>Injection Flaws (MSTG-ARCH-2 and MSTG-PLATFORM-2)</v>
      </c>
      <c r="I6" s="109"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K6" s="63"/>
    </row>
    <row r="7" spans="2:11">
      <c r="B7" s="62" t="s">
        <v>261</v>
      </c>
      <c r="C7" s="90" t="s">
        <v>280</v>
      </c>
      <c r="D7" s="32" t="s">
        <v>122</v>
      </c>
      <c r="E7" s="26" t="s">
        <v>3</v>
      </c>
      <c r="F7" s="45" t="s">
        <v>3</v>
      </c>
      <c r="G7" s="33" t="s">
        <v>64</v>
      </c>
      <c r="H7" s="104" t="str">
        <f>HYPERLINK(CONCATENATE(
BASE_URL,
"0x04b-Mobile-App-Security-Testing.md#architectural-information"),
"Architectural Information")</f>
        <v>Architectural Information</v>
      </c>
      <c r="I7" s="63"/>
      <c r="J7" s="63"/>
      <c r="K7" s="63"/>
    </row>
    <row r="8" spans="2:11">
      <c r="B8" s="62" t="s">
        <v>262</v>
      </c>
      <c r="C8" s="90" t="s">
        <v>273</v>
      </c>
      <c r="D8" s="32" t="s">
        <v>123</v>
      </c>
      <c r="E8" s="26" t="s">
        <v>3</v>
      </c>
      <c r="F8" s="45" t="s">
        <v>3</v>
      </c>
      <c r="G8" s="33" t="s">
        <v>64</v>
      </c>
      <c r="H8" s="104" t="str">
        <f>HYPERLINK(CONCATENATE(
BASE_URL,
"0x04b-Mobile-App-Security-Testing.md#identifying-sensitive-data"),
"Identifying Sensitive Data")</f>
        <v>Identifying Sensitive Data</v>
      </c>
      <c r="I8" s="63"/>
      <c r="J8" s="63"/>
      <c r="K8" s="63"/>
    </row>
    <row r="9" spans="2:11" ht="29">
      <c r="B9" s="62" t="s">
        <v>263</v>
      </c>
      <c r="C9" s="90" t="s">
        <v>274</v>
      </c>
      <c r="D9" s="32" t="s">
        <v>124</v>
      </c>
      <c r="E9" s="32"/>
      <c r="F9" s="45" t="s">
        <v>3</v>
      </c>
      <c r="G9" s="33" t="s">
        <v>64</v>
      </c>
      <c r="H9" s="104" t="str">
        <f>HYPERLINK(CONCATENATE(
BASE_URL,
"0x04b-Mobile-App-Security-Testing.md#environmental-information"),
"Environmental Information")</f>
        <v>Environmental Information</v>
      </c>
      <c r="I9" s="63"/>
      <c r="J9" s="63"/>
      <c r="K9" s="63"/>
    </row>
    <row r="10" spans="2:11" ht="29">
      <c r="B10" s="62" t="s">
        <v>264</v>
      </c>
      <c r="C10" s="90" t="s">
        <v>275</v>
      </c>
      <c r="D10" s="32" t="s">
        <v>125</v>
      </c>
      <c r="E10" s="32"/>
      <c r="F10" s="45" t="s">
        <v>3</v>
      </c>
      <c r="G10" s="33" t="s">
        <v>64</v>
      </c>
      <c r="H10" s="104" t="str">
        <f>HYPERLINK(CONCATENATE(
BASE_URL,
"0x04b-Mobile-App-Security-Testing.md#mapping-the-application"),
"Mapping the Application")</f>
        <v>Mapping the Application</v>
      </c>
      <c r="I10" s="63"/>
      <c r="J10" s="63"/>
      <c r="K10" s="63"/>
    </row>
    <row r="11" spans="2:11">
      <c r="B11" s="62" t="s">
        <v>4</v>
      </c>
      <c r="C11" s="90" t="s">
        <v>276</v>
      </c>
      <c r="D11" s="32" t="s">
        <v>126</v>
      </c>
      <c r="E11" s="46"/>
      <c r="F11" s="45" t="s">
        <v>3</v>
      </c>
      <c r="G11" s="33" t="s">
        <v>64</v>
      </c>
      <c r="H11" s="104" t="str">
        <f>HYPERLINK(CONCATENATE(
BASE_URL,
"0x04b-Mobile-App-Security-Testing.md#principles-of-testing"),
"Principles of Testing")</f>
        <v>Principles of Testing</v>
      </c>
      <c r="I11" s="94" t="str">
        <f>HYPERLINK(CONCATENATE(
BASE_URL,
"0x04b-Mobile-App-Security-Testing.md#penetration-testing-aka-pentesting"),
"Penetration Testing (a.k.a. Pentesting)")</f>
        <v>Penetration Testing (a.k.a. Pentesting)</v>
      </c>
      <c r="J11" s="94"/>
      <c r="K11" s="63"/>
    </row>
    <row r="12" spans="2:11" ht="29">
      <c r="B12" s="62" t="s">
        <v>265</v>
      </c>
      <c r="C12" s="90" t="s">
        <v>277</v>
      </c>
      <c r="D12" s="32" t="s">
        <v>127</v>
      </c>
      <c r="E12" s="32"/>
      <c r="F12" s="45" t="s">
        <v>3</v>
      </c>
      <c r="G12" s="33" t="s">
        <v>64</v>
      </c>
      <c r="H12" s="104" t="str">
        <f>HYPERLINK(CONCATENATE(
BASE_URL,
"0x04g-Testing-Cryptography.md#cryptographic-policy"),
"Cryptographic policy")</f>
        <v>Cryptographic policy</v>
      </c>
      <c r="I12" s="63"/>
      <c r="J12" s="63"/>
      <c r="K12" s="63"/>
    </row>
    <row r="13" spans="2:11">
      <c r="B13" s="62" t="s">
        <v>266</v>
      </c>
      <c r="C13" s="90" t="s">
        <v>278</v>
      </c>
      <c r="D13" s="32" t="s">
        <v>128</v>
      </c>
      <c r="E13" s="32"/>
      <c r="F13" s="45" t="s">
        <v>3</v>
      </c>
      <c r="G13" s="33" t="s">
        <v>64</v>
      </c>
      <c r="H13" s="104" t="str">
        <f>HYPERLINK(CONCATENATE(
BASE_URL,
"0x06h-Testing-Platform-Interaction.md#testing-enforced-updating-mstg-arch-9"),
"Testing enforced updating (MSTG-ARCH-9)")</f>
        <v>Testing enforced updating (MSTG-ARCH-9)</v>
      </c>
      <c r="I13" s="63"/>
      <c r="J13" s="63"/>
      <c r="K13" s="63"/>
    </row>
    <row r="14" spans="2:11">
      <c r="B14" s="62" t="s">
        <v>5</v>
      </c>
      <c r="C14" s="90" t="s">
        <v>279</v>
      </c>
      <c r="D14" s="32" t="s">
        <v>129</v>
      </c>
      <c r="E14" s="32"/>
      <c r="F14" s="45" t="s">
        <v>3</v>
      </c>
      <c r="G14" s="33" t="s">
        <v>64</v>
      </c>
      <c r="H14" s="104" t="str">
        <f>HYPERLINK(CONCATENATE(
BASE_URL,
"0x04b-Mobile-App-Security-Testing.md#security-testing-and-the-sdlc"),
"Security Testing and the SDLC")</f>
        <v>Security Testing and the SDLC</v>
      </c>
      <c r="I14" s="63"/>
      <c r="J14" s="63"/>
      <c r="K14" s="63"/>
    </row>
    <row r="15" spans="2:11">
      <c r="B15" s="34" t="s">
        <v>6</v>
      </c>
      <c r="C15" s="47"/>
      <c r="D15" s="69" t="s">
        <v>113</v>
      </c>
      <c r="E15" s="35"/>
      <c r="F15" s="47"/>
      <c r="G15" s="35"/>
      <c r="H15" s="106"/>
      <c r="I15" s="36"/>
      <c r="J15" s="36"/>
      <c r="K15" s="36"/>
    </row>
    <row r="16" spans="2:11" ht="29">
      <c r="B16" s="48" t="s">
        <v>7</v>
      </c>
      <c r="C16" s="91" t="s">
        <v>281</v>
      </c>
      <c r="D16" s="49" t="s">
        <v>239</v>
      </c>
      <c r="E16" s="26" t="s">
        <v>3</v>
      </c>
      <c r="F16" s="45" t="s">
        <v>3</v>
      </c>
      <c r="G16" s="33" t="s">
        <v>64</v>
      </c>
      <c r="H16" s="109" t="str">
        <f>HYPERLINK(CONCATENATE(BASE_URL,"0x06d-Testing-Data-Storage.md#testing-local-data-storage-mstg-storage-1-and-mstg-storage-2"),"Testing Local Data Storage (MSTG-STORAGE-1 and MSTG-STORAGE-2)")</f>
        <v>Testing Local Data Storage (MSTG-STORAGE-1 and MSTG-STORAGE-2)</v>
      </c>
      <c r="I16" s="63"/>
      <c r="J16" s="63"/>
      <c r="K16" s="63"/>
    </row>
    <row r="17" spans="2:11" ht="29">
      <c r="B17" s="48" t="s">
        <v>39</v>
      </c>
      <c r="C17" s="91" t="s">
        <v>282</v>
      </c>
      <c r="D17" s="49" t="s">
        <v>240</v>
      </c>
      <c r="E17" s="26" t="s">
        <v>3</v>
      </c>
      <c r="F17" s="45" t="s">
        <v>3</v>
      </c>
      <c r="G17" s="33" t="s">
        <v>64</v>
      </c>
      <c r="H17" s="109" t="str">
        <f>HYPERLINK(CONCATENATE(BASE_URL,"0x06d-Testing-Data-Storage.md#testing-local-data-storage-mstg-storage-1-and-mstg-storage-2"),"Testing Local Data Storage (MSTG-STORAGE-1 and MSTG-STORAGE-2)")</f>
        <v>Testing Local Data Storage (MSTG-STORAGE-1 and MSTG-STORAGE-2)</v>
      </c>
      <c r="I17" s="63"/>
      <c r="J17" s="63"/>
      <c r="K17" s="63"/>
    </row>
    <row r="18" spans="2:11">
      <c r="B18" s="48" t="s">
        <v>40</v>
      </c>
      <c r="C18" s="91" t="s">
        <v>283</v>
      </c>
      <c r="D18" s="49" t="s">
        <v>130</v>
      </c>
      <c r="E18" s="26" t="s">
        <v>3</v>
      </c>
      <c r="F18" s="45" t="s">
        <v>3</v>
      </c>
      <c r="G18" s="33" t="s">
        <v>64</v>
      </c>
      <c r="H18" s="109" t="str">
        <f>HYPERLINK(CONCATENATE(BASE_URL,"0x06d-Testing-Data-Storage.md#checking-logs-for-sensitive-data-mstg-storage-3"),"Checking Logs for Sensitive Data (MSTG-STORAGE-3)")</f>
        <v>Checking Logs for Sensitive Data (MSTG-STORAGE-3)</v>
      </c>
      <c r="I18" s="63"/>
      <c r="J18" s="63"/>
      <c r="K18" s="63"/>
    </row>
    <row r="19" spans="2:11">
      <c r="B19" s="48" t="s">
        <v>8</v>
      </c>
      <c r="C19" s="91" t="s">
        <v>284</v>
      </c>
      <c r="D19" s="49" t="s">
        <v>131</v>
      </c>
      <c r="E19" s="26" t="s">
        <v>3</v>
      </c>
      <c r="F19" s="45" t="s">
        <v>3</v>
      </c>
      <c r="G19" s="33" t="s">
        <v>64</v>
      </c>
      <c r="H19" s="109" t="str">
        <f>HYPERLINK(CONCATENATE(BASE_URL,"0x06d-Testing-Data-Storage.md#determining-whether-sensitive-data-is-sent-to-third-parties-mstg-storage-4"),"Determining Whether Sensitive Data Is Sent to Third Parties (MSTG-STORAGE-4)")</f>
        <v>Determining Whether Sensitive Data Is Sent to Third Parties (MSTG-STORAGE-4)</v>
      </c>
      <c r="I19" s="63"/>
      <c r="J19" s="63"/>
      <c r="K19" s="63"/>
    </row>
    <row r="20" spans="2:11">
      <c r="B20" s="48" t="s">
        <v>41</v>
      </c>
      <c r="C20" s="91" t="s">
        <v>285</v>
      </c>
      <c r="D20" s="49" t="s">
        <v>132</v>
      </c>
      <c r="E20" s="26" t="s">
        <v>3</v>
      </c>
      <c r="F20" s="45" t="s">
        <v>3</v>
      </c>
      <c r="G20" s="33" t="s">
        <v>64</v>
      </c>
      <c r="H20" s="109" t="str">
        <f>HYPERLINK(CONCATENATE(BASE_URL,"0x06d-Testing-Data-Storage.md#finding-sensitive-data-in-the-keyboard-cache-mstg-storage-5"),"Finding Sensitive Data in the Keyboard Cache (MSTG-STORAGE-5)")</f>
        <v>Finding Sensitive Data in the Keyboard Cache (MSTG-STORAGE-5)</v>
      </c>
      <c r="I20" s="63"/>
      <c r="J20" s="63"/>
      <c r="K20" s="63"/>
    </row>
    <row r="21" spans="2:11">
      <c r="B21" s="48" t="s">
        <v>9</v>
      </c>
      <c r="C21" s="91" t="s">
        <v>286</v>
      </c>
      <c r="D21" s="49" t="s">
        <v>133</v>
      </c>
      <c r="E21" s="26" t="s">
        <v>3</v>
      </c>
      <c r="F21" s="45" t="s">
        <v>3</v>
      </c>
      <c r="G21" s="33" t="s">
        <v>64</v>
      </c>
      <c r="H21" s="108"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1" s="63"/>
      <c r="J21" s="63"/>
      <c r="K21" s="63"/>
    </row>
    <row r="22" spans="2:11" ht="29">
      <c r="B22" s="48" t="s">
        <v>10</v>
      </c>
      <c r="C22" s="91" t="s">
        <v>287</v>
      </c>
      <c r="D22" s="49" t="s">
        <v>134</v>
      </c>
      <c r="E22" s="26" t="s">
        <v>3</v>
      </c>
      <c r="F22" s="45" t="s">
        <v>3</v>
      </c>
      <c r="G22" s="33" t="s">
        <v>64</v>
      </c>
      <c r="H22" s="109"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2" s="63"/>
      <c r="J22" s="63"/>
      <c r="K22" s="63"/>
    </row>
    <row r="23" spans="2:11">
      <c r="B23" s="48" t="s">
        <v>11</v>
      </c>
      <c r="C23" s="91" t="s">
        <v>288</v>
      </c>
      <c r="D23" s="49" t="s">
        <v>135</v>
      </c>
      <c r="E23" s="49"/>
      <c r="F23" s="45" t="s">
        <v>3</v>
      </c>
      <c r="G23" s="33" t="s">
        <v>64</v>
      </c>
      <c r="H23" s="109" t="str">
        <f>HYPERLINK(CONCATENATE(BASE_URL,"0x06d-Testing-Data-Storage.md#testing-backups-for-sensitive-data-mstg-storage-8"),"Testing Backups for Sensitive Data (MSTG-STORAGE-8)")</f>
        <v>Testing Backups for Sensitive Data (MSTG-STORAGE-8)</v>
      </c>
      <c r="I23" s="63"/>
      <c r="J23" s="63"/>
      <c r="K23" s="63"/>
    </row>
    <row r="24" spans="2:11">
      <c r="B24" s="48" t="s">
        <v>12</v>
      </c>
      <c r="C24" s="91" t="s">
        <v>289</v>
      </c>
      <c r="D24" s="49" t="s">
        <v>136</v>
      </c>
      <c r="E24" s="49"/>
      <c r="F24" s="45" t="s">
        <v>3</v>
      </c>
      <c r="G24" s="33" t="s">
        <v>64</v>
      </c>
      <c r="H24" s="109"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4" s="63"/>
      <c r="J24" s="63"/>
      <c r="K24" s="63"/>
    </row>
    <row r="25" spans="2:11" ht="29">
      <c r="B25" s="48" t="s">
        <v>42</v>
      </c>
      <c r="C25" s="91" t="s">
        <v>290</v>
      </c>
      <c r="D25" s="49" t="s">
        <v>137</v>
      </c>
      <c r="E25" s="49"/>
      <c r="F25" s="45" t="s">
        <v>3</v>
      </c>
      <c r="G25" s="33" t="s">
        <v>64</v>
      </c>
      <c r="H25" s="109" t="str">
        <f>HYPERLINK(CONCATENATE(BASE_URL,"0x06d-Testing-Data-Storage.md#testing-memory-for-sensitive-data-mstg-storage-10"),"Testing Memory for Sensitive Data (MSTG-STORAGE-10)")</f>
        <v>Testing Memory for Sensitive Data (MSTG-STORAGE-10)</v>
      </c>
      <c r="I25" s="63"/>
      <c r="J25" s="63"/>
      <c r="K25" s="63"/>
    </row>
    <row r="26" spans="2:11" ht="29">
      <c r="B26" s="48" t="s">
        <v>43</v>
      </c>
      <c r="C26" s="91" t="s">
        <v>291</v>
      </c>
      <c r="D26" s="49" t="s">
        <v>138</v>
      </c>
      <c r="E26" s="49"/>
      <c r="F26" s="45" t="s">
        <v>3</v>
      </c>
      <c r="G26" s="33" t="s">
        <v>64</v>
      </c>
      <c r="H26" s="109" t="str">
        <f>HYPERLINK(CONCATENATE(BASE_URL,"0x06f-Testing-Local-Authentication.md#testing-local-authentication-mstg-auth-8-and-mstg-storage-11"),"Testing Local Authentication (MSTG-AUTH-8 and MSTG-STORAGE-11)")</f>
        <v>Testing Local Authentication (MSTG-AUTH-8 and MSTG-STORAGE-11)</v>
      </c>
      <c r="I26" s="63"/>
      <c r="J26" s="63"/>
      <c r="K26" s="63"/>
    </row>
    <row r="27" spans="2:11" ht="29">
      <c r="B27" s="48" t="s">
        <v>13</v>
      </c>
      <c r="C27" s="91" t="s">
        <v>292</v>
      </c>
      <c r="D27" s="49" t="s">
        <v>241</v>
      </c>
      <c r="E27" s="49"/>
      <c r="F27" s="45" t="s">
        <v>3</v>
      </c>
      <c r="G27" s="33" t="s">
        <v>64</v>
      </c>
      <c r="H27" s="111" t="str">
        <f>HYPERLINK(CONCATENATE(BASE_URL,"0x04i-Testing-user-interaction.md#testing-user-education-mstg-storage-12"),"Testing User Education (MSTG-STORAGE-12)")</f>
        <v>Testing User Education (MSTG-STORAGE-12)</v>
      </c>
      <c r="I27" s="63"/>
      <c r="J27" s="63"/>
      <c r="K27" s="63"/>
    </row>
    <row r="28" spans="2:11">
      <c r="B28" s="34" t="s">
        <v>14</v>
      </c>
      <c r="C28" s="47"/>
      <c r="D28" s="69" t="s">
        <v>114</v>
      </c>
      <c r="E28" s="35"/>
      <c r="F28" s="47"/>
      <c r="G28" s="35"/>
      <c r="H28" s="106"/>
      <c r="I28" s="36"/>
      <c r="J28" s="36"/>
      <c r="K28" s="36"/>
    </row>
    <row r="29" spans="2:11">
      <c r="B29" s="48" t="s">
        <v>15</v>
      </c>
      <c r="C29" s="91" t="s">
        <v>293</v>
      </c>
      <c r="D29" s="49" t="s">
        <v>242</v>
      </c>
      <c r="E29" s="26" t="s">
        <v>3</v>
      </c>
      <c r="F29" s="45" t="s">
        <v>3</v>
      </c>
      <c r="G29" s="33" t="s">
        <v>64</v>
      </c>
      <c r="H29" s="109" t="str">
        <f>HYPERLINK(CONCATENATE(BASE_URL,"0x06e-Testing-Cryptography.md#testing-key-management-mstg-crypto-1-and-mstg-crypto-5"),"Testing Key Management (MSTG-CRYPTO-1 and MSTG-CRYPTO-5)")</f>
        <v>Testing Key Management (MSTG-CRYPTO-1 and MSTG-CRYPTO-5)</v>
      </c>
      <c r="I29" s="63"/>
      <c r="J29" s="63"/>
      <c r="K29" s="63"/>
    </row>
    <row r="30" spans="2:11">
      <c r="B30" s="48" t="s">
        <v>16</v>
      </c>
      <c r="C30" s="91" t="s">
        <v>294</v>
      </c>
      <c r="D30" s="49" t="s">
        <v>139</v>
      </c>
      <c r="E30" s="26" t="s">
        <v>3</v>
      </c>
      <c r="F30" s="45" t="s">
        <v>3</v>
      </c>
      <c r="G30" s="33" t="s">
        <v>64</v>
      </c>
      <c r="H30" s="108"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0" s="63"/>
      <c r="J30" s="63"/>
      <c r="K30" s="63"/>
    </row>
    <row r="31" spans="2:11" ht="29">
      <c r="B31" s="48" t="s">
        <v>17</v>
      </c>
      <c r="C31" s="91" t="s">
        <v>295</v>
      </c>
      <c r="D31" s="49" t="s">
        <v>140</v>
      </c>
      <c r="E31" s="26" t="s">
        <v>3</v>
      </c>
      <c r="F31" s="45" t="s">
        <v>3</v>
      </c>
      <c r="G31" s="33" t="s">
        <v>64</v>
      </c>
      <c r="H31" s="108"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1" s="63"/>
      <c r="J31" s="63"/>
      <c r="K31" s="63"/>
    </row>
    <row r="32" spans="2:11">
      <c r="B32" s="48" t="s">
        <v>18</v>
      </c>
      <c r="C32" s="91" t="s">
        <v>296</v>
      </c>
      <c r="D32" s="49" t="s">
        <v>141</v>
      </c>
      <c r="E32" s="26" t="s">
        <v>3</v>
      </c>
      <c r="F32" s="45" t="s">
        <v>3</v>
      </c>
      <c r="G32" s="33" t="s">
        <v>64</v>
      </c>
      <c r="H32" s="109"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63"/>
      <c r="J32" s="63"/>
      <c r="K32" s="63"/>
    </row>
    <row r="33" spans="2:12">
      <c r="B33" s="48" t="s">
        <v>19</v>
      </c>
      <c r="C33" s="91" t="s">
        <v>297</v>
      </c>
      <c r="D33" s="49" t="s">
        <v>142</v>
      </c>
      <c r="E33" s="26" t="s">
        <v>3</v>
      </c>
      <c r="F33" s="45" t="s">
        <v>3</v>
      </c>
      <c r="G33" s="33" t="s">
        <v>64</v>
      </c>
      <c r="H33" s="109" t="str">
        <f>HYPERLINK(CONCATENATE(BASE_URL,"0x06e-Testing-Cryptography.md#testing-key-management-mstg-crypto-1-and-mstg-crypto-5"),"Testing Key Management (MSTG-CRYPTO-1 and MSTG-CRYPTO-5)")</f>
        <v>Testing Key Management (MSTG-CRYPTO-1 and MSTG-CRYPTO-5)</v>
      </c>
      <c r="I33" s="63"/>
      <c r="J33" s="63"/>
      <c r="K33" s="63"/>
    </row>
    <row r="34" spans="2:12">
      <c r="B34" s="48" t="s">
        <v>20</v>
      </c>
      <c r="C34" s="91" t="s">
        <v>298</v>
      </c>
      <c r="D34" s="49" t="s">
        <v>143</v>
      </c>
      <c r="E34" s="26" t="s">
        <v>3</v>
      </c>
      <c r="F34" s="45" t="s">
        <v>3</v>
      </c>
      <c r="G34" s="33" t="s">
        <v>64</v>
      </c>
      <c r="H34" s="109" t="str">
        <f>HYPERLINK(CONCATENATE(BASE_URL,"0x06e-Testing-Cryptography.md#testing-random-number-generation-mstg-crypto-6")," Testing Random Number Generation (MSTG-CRYPTO-6)")</f>
        <v xml:space="preserve"> Testing Random Number Generation (MSTG-CRYPTO-6)</v>
      </c>
      <c r="I34" s="63"/>
      <c r="J34" s="63"/>
      <c r="K34" s="63"/>
    </row>
    <row r="35" spans="2:12">
      <c r="B35" s="34" t="s">
        <v>21</v>
      </c>
      <c r="C35" s="47"/>
      <c r="D35" s="69" t="s">
        <v>115</v>
      </c>
      <c r="E35" s="35"/>
      <c r="F35" s="47"/>
      <c r="G35" s="35"/>
      <c r="H35" s="106"/>
      <c r="I35" s="36"/>
      <c r="J35" s="36"/>
      <c r="K35" s="36"/>
    </row>
    <row r="36" spans="2:12" ht="29">
      <c r="B36" s="89" t="s">
        <v>22</v>
      </c>
      <c r="C36" s="92" t="s">
        <v>299</v>
      </c>
      <c r="D36" s="49" t="s">
        <v>144</v>
      </c>
      <c r="E36" s="26" t="s">
        <v>3</v>
      </c>
      <c r="F36" s="45" t="s">
        <v>3</v>
      </c>
      <c r="G36" s="33" t="s">
        <v>64</v>
      </c>
      <c r="H36" s="109"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36" s="109" t="str">
        <f>HYPERLINK(CONCATENATE(BASE_URL,"0x04e-Testing-Authentication-and-Session-Management.md#verifying-that-appropriate-authentication-is-in-place-mstg-arch-2-and-mstg-auth-1"),"Testing OAuth 2.0 Flows (MSTG-AUTH-1 and MSTG-AUTH-3)")</f>
        <v>Testing OAuth 2.0 Flows (MSTG-AUTH-1 and MSTG-AUTH-3)</v>
      </c>
      <c r="J36" s="109"/>
      <c r="K36" s="63"/>
    </row>
    <row r="37" spans="2:12" ht="29">
      <c r="B37" s="89" t="s">
        <v>44</v>
      </c>
      <c r="C37" s="92" t="s">
        <v>300</v>
      </c>
      <c r="D37" s="49" t="s">
        <v>145</v>
      </c>
      <c r="E37" s="26" t="s">
        <v>3</v>
      </c>
      <c r="F37" s="45" t="s">
        <v>3</v>
      </c>
      <c r="G37" s="33" t="s">
        <v>64</v>
      </c>
      <c r="H37" s="109" t="str">
        <f>HYPERLINK(CONCATENATE(BASE_URL,"0x04e-Testing-Authentication-and-Session-Management.md#testing-stateful-session-management-mstg-auth-2"),"Testing Stateful Session Management (MSTG-AUTH-2)")</f>
        <v>Testing Stateful Session Management (MSTG-AUTH-2)</v>
      </c>
      <c r="I37" s="63"/>
      <c r="J37" s="63"/>
      <c r="K37" s="63"/>
    </row>
    <row r="38" spans="2:12" ht="29">
      <c r="B38" s="89" t="s">
        <v>45</v>
      </c>
      <c r="C38" s="92" t="s">
        <v>301</v>
      </c>
      <c r="D38" s="49" t="s">
        <v>146</v>
      </c>
      <c r="E38" s="26" t="s">
        <v>3</v>
      </c>
      <c r="F38" s="45" t="s">
        <v>3</v>
      </c>
      <c r="G38" s="33" t="s">
        <v>64</v>
      </c>
      <c r="H38" s="109" t="str">
        <f>HYPERLINK(CONCATENATE(BASE_URL,"0x04e-Testing-Authentication-and-Session-Management.md#testing-stateless-token-based-authentication-mstg-auth-3"),"Testing Stateless (Token-Based) Authentication (MSTG-AUTH-3)")</f>
        <v>Testing Stateless (Token-Based) Authentication (MSTG-AUTH-3)</v>
      </c>
      <c r="I38" s="109" t="str">
        <f>HYPERLINK(CONCATENATE(BASE_URL,"0x04e-Testing-Authentication-and-Session-Management.md#verifying-that-appropriate-authentication-is-in-place-mstg-arch-2-and-mstg-auth-1"),"Testing OAuth 2.0 Flows (MSTG-AUTH-1 and MSTG-AUTH-3)")</f>
        <v>Testing OAuth 2.0 Flows (MSTG-AUTH-1 and MSTG-AUTH-3)</v>
      </c>
      <c r="J38" s="109"/>
      <c r="K38" s="63"/>
    </row>
    <row r="39" spans="2:12">
      <c r="B39" s="89" t="s">
        <v>23</v>
      </c>
      <c r="C39" s="92" t="s">
        <v>302</v>
      </c>
      <c r="D39" s="49" t="s">
        <v>147</v>
      </c>
      <c r="E39" s="26" t="s">
        <v>3</v>
      </c>
      <c r="F39" s="45" t="s">
        <v>3</v>
      </c>
      <c r="G39" s="33" t="s">
        <v>64</v>
      </c>
      <c r="H39" s="109" t="str">
        <f>HYPERLINK(CONCATENATE(BASE_URL,"0x04e-Testing-Authentication-and-Session-Management.md#testing-user-logout-mstg-auth-4"),"Testing User Logout (MSTG-AUTH-4)")</f>
        <v>Testing User Logout (MSTG-AUTH-4)</v>
      </c>
      <c r="I39" s="63"/>
      <c r="J39" s="63"/>
      <c r="K39" s="63"/>
      <c r="L39" s="50"/>
    </row>
    <row r="40" spans="2:12">
      <c r="B40" s="89" t="s">
        <v>24</v>
      </c>
      <c r="C40" s="92" t="s">
        <v>303</v>
      </c>
      <c r="D40" s="49" t="s">
        <v>148</v>
      </c>
      <c r="E40" s="26"/>
      <c r="F40" s="45"/>
      <c r="G40" s="33" t="s">
        <v>64</v>
      </c>
      <c r="H40" s="109" t="str">
        <f>HYPERLINK(CONCATENATE(BASE_URL,"0x04e-Testing-Authentication-and-Session-Management.md#testing-best-practices-for-passwords-mstg-auth-5-and-mstg-auth-6"),"Testing Best Practices for Passwords (MSTG-AUTH-5 and MSTG-AUTH-6)")</f>
        <v>Testing Best Practices for Passwords (MSTG-AUTH-5 and MSTG-AUTH-6)</v>
      </c>
      <c r="I40" s="63"/>
      <c r="J40" s="63"/>
      <c r="K40" s="63"/>
      <c r="L40" s="50"/>
    </row>
    <row r="41" spans="2:12">
      <c r="B41" s="89" t="s">
        <v>46</v>
      </c>
      <c r="C41" s="92" t="s">
        <v>304</v>
      </c>
      <c r="D41" s="49" t="s">
        <v>149</v>
      </c>
      <c r="E41" s="26" t="s">
        <v>3</v>
      </c>
      <c r="F41" s="45" t="s">
        <v>3</v>
      </c>
      <c r="G41" s="33" t="s">
        <v>64</v>
      </c>
      <c r="H41" s="109" t="str">
        <f>HYPERLINK(CONCATENATE(BASE_URL,"0x04e-Testing-Authentication-and-Session-Management.md#testing-best-practices-for-passwords-mstg-auth-5-and-mstg-auth-6"),"Testing Best Practices for Passwords (MSTG-AUTH-5 and MSTG-AUTH-6)")</f>
        <v>Testing Best Practices for Passwords (MSTG-AUTH-5 and MSTG-AUTH-6)</v>
      </c>
      <c r="I41" s="109" t="str">
        <f>HYPERLINK(CONCATENATE(BASE_URL,"0x04e-Testing-Authentication-and-Session-Management.md#dynamic-testing-mstg-auth-6"),"Dynamic Testing (MSTG-AUTH-6)")</f>
        <v>Dynamic Testing (MSTG-AUTH-6)</v>
      </c>
      <c r="J41" s="109"/>
      <c r="K41" s="63"/>
    </row>
    <row r="42" spans="2:12">
      <c r="B42" s="89" t="s">
        <v>47</v>
      </c>
      <c r="C42" s="92" t="s">
        <v>305</v>
      </c>
      <c r="D42" s="49" t="s">
        <v>150</v>
      </c>
      <c r="E42" s="49"/>
      <c r="F42" s="45" t="s">
        <v>3</v>
      </c>
      <c r="G42" s="33" t="s">
        <v>64</v>
      </c>
      <c r="H42" s="109" t="str">
        <f>HYPERLINK(CONCATENATE(BASE_URL,"0x04e-Testing-Authentication-and-Session-Management.md#testing-session-timeout-mstg-auth-7"),"Testing Session Timeout (MSTG-AUTH-7)")</f>
        <v>Testing Session Timeout (MSTG-AUTH-7)</v>
      </c>
      <c r="I42" s="113"/>
      <c r="J42" s="113"/>
      <c r="K42" s="63"/>
    </row>
    <row r="43" spans="2:12" ht="29">
      <c r="B43" s="89" t="s">
        <v>25</v>
      </c>
      <c r="C43" s="92" t="s">
        <v>306</v>
      </c>
      <c r="D43" s="49" t="s">
        <v>151</v>
      </c>
      <c r="E43" s="49"/>
      <c r="F43" s="45" t="s">
        <v>3</v>
      </c>
      <c r="G43" s="33" t="s">
        <v>64</v>
      </c>
      <c r="H43" s="109" t="str">
        <f>HYPERLINK(CONCATENATE(BASE_URL,"0x06f-Testing-Local-Authentication.md#testing-local-authentication-mstg-auth-8-and-mstg-storage-11"),"Testing Local Authentication (MSTG-AUTH-8 and MSTG-STORAGE-11)")</f>
        <v>Testing Local Authentication (MSTG-AUTH-8 and MSTG-STORAGE-11)</v>
      </c>
      <c r="I43" s="109"/>
      <c r="J43" s="109"/>
      <c r="K43" s="63"/>
    </row>
    <row r="44" spans="2:12">
      <c r="B44" s="89" t="s">
        <v>26</v>
      </c>
      <c r="C44" s="92" t="s">
        <v>307</v>
      </c>
      <c r="D44" s="49" t="s">
        <v>152</v>
      </c>
      <c r="E44" s="49"/>
      <c r="F44" s="45" t="s">
        <v>3</v>
      </c>
      <c r="G44" s="33" t="s">
        <v>64</v>
      </c>
      <c r="H44" s="10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63"/>
      <c r="J44" s="63"/>
      <c r="K44" s="63"/>
    </row>
    <row r="45" spans="2:12">
      <c r="B45" s="89" t="s">
        <v>27</v>
      </c>
      <c r="C45" s="92" t="s">
        <v>308</v>
      </c>
      <c r="D45" s="49" t="s">
        <v>243</v>
      </c>
      <c r="E45" s="49"/>
      <c r="F45" s="45" t="s">
        <v>3</v>
      </c>
      <c r="G45" s="33" t="s">
        <v>64</v>
      </c>
      <c r="H45" s="10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63"/>
      <c r="J45" s="63"/>
      <c r="K45" s="63"/>
    </row>
    <row r="46" spans="2:12" ht="29">
      <c r="B46" s="89" t="s">
        <v>93</v>
      </c>
      <c r="C46" s="92" t="s">
        <v>309</v>
      </c>
      <c r="D46" s="49" t="s">
        <v>153</v>
      </c>
      <c r="E46" s="49"/>
      <c r="F46" s="45" t="s">
        <v>3</v>
      </c>
      <c r="G46" s="33" t="s">
        <v>64</v>
      </c>
      <c r="H46" s="111" t="str">
        <f>HYPERLINK(CONCATENATE(
BASE_URL,
"0x04e-Testing-Authentication-and-Session-Management.md#testing-login-activity-and-device-blocking-mstg-auth-11"),
"Testing Login Activity and Device Blocking (MSTG-AUTH-11)")</f>
        <v>Testing Login Activity and Device Blocking (MSTG-AUTH-11)</v>
      </c>
      <c r="I46" s="63"/>
      <c r="J46" s="63"/>
      <c r="K46" s="63"/>
    </row>
    <row r="47" spans="2:12">
      <c r="B47" s="34" t="s">
        <v>28</v>
      </c>
      <c r="C47" s="47"/>
      <c r="D47" s="69" t="s">
        <v>116</v>
      </c>
      <c r="E47" s="35"/>
      <c r="F47" s="47"/>
      <c r="G47" s="35"/>
      <c r="H47" s="106"/>
      <c r="I47" s="36"/>
      <c r="J47" s="36"/>
      <c r="K47" s="36"/>
    </row>
    <row r="48" spans="2:12">
      <c r="B48" s="89" t="s">
        <v>29</v>
      </c>
      <c r="C48" s="92" t="s">
        <v>310</v>
      </c>
      <c r="D48" s="49" t="s">
        <v>154</v>
      </c>
      <c r="E48" s="26" t="s">
        <v>3</v>
      </c>
      <c r="F48" s="45" t="s">
        <v>3</v>
      </c>
      <c r="G48" s="33" t="s">
        <v>64</v>
      </c>
      <c r="H48" s="10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94"/>
      <c r="J48" s="94"/>
      <c r="K48" s="63"/>
    </row>
    <row r="49" spans="2:11" ht="29">
      <c r="B49" s="89" t="s">
        <v>48</v>
      </c>
      <c r="C49" s="92" t="s">
        <v>311</v>
      </c>
      <c r="D49" s="49" t="s">
        <v>155</v>
      </c>
      <c r="E49" s="26" t="s">
        <v>3</v>
      </c>
      <c r="F49" s="45" t="s">
        <v>3</v>
      </c>
      <c r="G49" s="33" t="s">
        <v>64</v>
      </c>
      <c r="H49" s="10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94" t="str">
        <f>HYPERLINK(CONCATENATE(BASE_URL,"0x06g-Testing-Network-Communication.md#app-transport-security-mstg-network-2"),"App Transport Security (MSTG-NETWORK-2)")</f>
        <v>App Transport Security (MSTG-NETWORK-2)</v>
      </c>
      <c r="J49" s="94"/>
      <c r="K49" s="63"/>
    </row>
    <row r="50" spans="2:11" ht="29">
      <c r="B50" s="89" t="s">
        <v>30</v>
      </c>
      <c r="C50" s="92" t="s">
        <v>312</v>
      </c>
      <c r="D50" s="49" t="s">
        <v>156</v>
      </c>
      <c r="E50" s="26" t="s">
        <v>3</v>
      </c>
      <c r="F50" s="45" t="s">
        <v>3</v>
      </c>
      <c r="G50" s="33" t="s">
        <v>64</v>
      </c>
      <c r="H50" s="109"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0" s="63"/>
      <c r="J50" s="63"/>
      <c r="K50" s="63"/>
    </row>
    <row r="51" spans="2:11" ht="43.5">
      <c r="B51" s="89" t="s">
        <v>49</v>
      </c>
      <c r="C51" s="92" t="s">
        <v>313</v>
      </c>
      <c r="D51" s="49" t="s">
        <v>157</v>
      </c>
      <c r="E51" s="49"/>
      <c r="F51" s="45" t="s">
        <v>3</v>
      </c>
      <c r="G51" s="33" t="s">
        <v>64</v>
      </c>
      <c r="H51" s="109"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1" s="63"/>
      <c r="J51" s="63"/>
      <c r="K51" s="63"/>
    </row>
    <row r="52" spans="2:11" ht="29">
      <c r="B52" s="89" t="s">
        <v>31</v>
      </c>
      <c r="C52" s="92" t="s">
        <v>314</v>
      </c>
      <c r="D52" s="49" t="s">
        <v>158</v>
      </c>
      <c r="E52" s="49"/>
      <c r="F52" s="45" t="s">
        <v>3</v>
      </c>
      <c r="G52" s="33" t="s">
        <v>64</v>
      </c>
      <c r="H52" s="108"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63"/>
      <c r="J52" s="63"/>
      <c r="K52" s="63"/>
    </row>
    <row r="53" spans="2:11">
      <c r="B53" s="89" t="s">
        <v>267</v>
      </c>
      <c r="C53" s="92" t="s">
        <v>315</v>
      </c>
      <c r="D53" s="49" t="s">
        <v>159</v>
      </c>
      <c r="E53" s="49"/>
      <c r="F53" s="45" t="s">
        <v>3</v>
      </c>
      <c r="G53" s="33" t="s">
        <v>64</v>
      </c>
      <c r="H53" s="109" t="str">
        <f>HYPERLINK(CONCATENATE(
BASE_URL,
"0x06i-Testing-Code-Quality-and-Build-Settings.md#checking-for-weaknesses-in-third-party-libraries-mstg-code-5"),
"Checking for Weaknesses in Third Party Libraries (MSTG-CODE-5)")</f>
        <v>Checking for Weaknesses in Third Party Libraries (MSTG-CODE-5)</v>
      </c>
      <c r="I53" s="63"/>
      <c r="J53" s="63"/>
      <c r="K53" s="63"/>
    </row>
    <row r="54" spans="2:11">
      <c r="B54" s="34" t="s">
        <v>32</v>
      </c>
      <c r="C54" s="47"/>
      <c r="D54" s="69" t="s">
        <v>117</v>
      </c>
      <c r="E54" s="35"/>
      <c r="F54" s="47"/>
      <c r="G54" s="35"/>
      <c r="H54" s="106"/>
      <c r="I54" s="36"/>
      <c r="J54" s="36"/>
      <c r="K54" s="36"/>
    </row>
    <row r="55" spans="2:11">
      <c r="B55" s="89" t="s">
        <v>50</v>
      </c>
      <c r="C55" s="92" t="s">
        <v>316</v>
      </c>
      <c r="D55" s="49" t="s">
        <v>160</v>
      </c>
      <c r="E55" s="26" t="s">
        <v>3</v>
      </c>
      <c r="F55" s="45" t="s">
        <v>3</v>
      </c>
      <c r="G55" s="33" t="s">
        <v>64</v>
      </c>
      <c r="H55" s="109" t="str">
        <f>HYPERLINK(CONCATENATE(BASE_URL,"0x06h-Testing-Platform-Interaction.md#testing-app-permissions-mstg-platform-1"),"Testing App Permissions (MSTG-PLATFORM-1)")</f>
        <v>Testing App Permissions (MSTG-PLATFORM-1)</v>
      </c>
      <c r="I55" s="63"/>
      <c r="J55" s="63"/>
      <c r="K55" s="63"/>
    </row>
    <row r="56" spans="2:11" ht="29">
      <c r="B56" s="89" t="s">
        <v>51</v>
      </c>
      <c r="C56" s="92" t="s">
        <v>317</v>
      </c>
      <c r="D56" s="49" t="s">
        <v>161</v>
      </c>
      <c r="E56" s="26" t="s">
        <v>3</v>
      </c>
      <c r="F56" s="45" t="s">
        <v>3</v>
      </c>
      <c r="G56" s="33" t="s">
        <v>64</v>
      </c>
      <c r="H56" s="109" t="str">
        <f>HYPERLINK(CONCATENATE(BASE_URL,"0x04h-Testing-Code-Quality.md#injection-flaws-mstg-arch-2-and-mstg-platform-2"),"Injection Flaws (MSTG-ARCH-2 and MSTG-PLATFORM-2)")</f>
        <v>Injection Flaws (MSTG-ARCH-2 and MSTG-PLATFORM-2)</v>
      </c>
      <c r="I56" s="63"/>
      <c r="J56" s="63"/>
      <c r="K56" s="63"/>
    </row>
    <row r="57" spans="2:11" ht="29">
      <c r="B57" s="89" t="s">
        <v>52</v>
      </c>
      <c r="C57" s="92" t="s">
        <v>318</v>
      </c>
      <c r="D57" s="49" t="s">
        <v>162</v>
      </c>
      <c r="E57" s="26" t="s">
        <v>3</v>
      </c>
      <c r="F57" s="45" t="s">
        <v>3</v>
      </c>
      <c r="G57" s="33" t="s">
        <v>64</v>
      </c>
      <c r="H57" s="109" t="str">
        <f>HYPERLINK(CONCATENATE(BASE_URL,"0x06h-Testing-Platform-Interaction.md#testing-custom-url-schemes-mstg-platform-3"),"Testing Custom URL Schemes (MSTG-PLATFORM-3)")</f>
        <v>Testing Custom URL Schemes (MSTG-PLATFORM-3)</v>
      </c>
      <c r="I57" s="63"/>
      <c r="J57" s="63"/>
      <c r="K57" s="63"/>
    </row>
    <row r="58" spans="2:11" ht="29">
      <c r="B58" s="89" t="s">
        <v>53</v>
      </c>
      <c r="C58" s="92" t="s">
        <v>319</v>
      </c>
      <c r="D58" s="49" t="s">
        <v>163</v>
      </c>
      <c r="E58" s="26" t="s">
        <v>3</v>
      </c>
      <c r="F58" s="45" t="s">
        <v>3</v>
      </c>
      <c r="G58" s="33" t="s">
        <v>64</v>
      </c>
      <c r="H58" s="104"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58" s="63"/>
      <c r="J58" s="63"/>
      <c r="K58" s="63"/>
    </row>
    <row r="59" spans="2:11">
      <c r="B59" s="89" t="s">
        <v>54</v>
      </c>
      <c r="C59" s="92" t="s">
        <v>320</v>
      </c>
      <c r="D59" s="49" t="s">
        <v>164</v>
      </c>
      <c r="E59" s="26" t="s">
        <v>3</v>
      </c>
      <c r="F59" s="45" t="s">
        <v>3</v>
      </c>
      <c r="G59" s="33" t="s">
        <v>64</v>
      </c>
      <c r="H59" s="109" t="str">
        <f>HYPERLINK(CONCATENATE(BASE_URL,"0x06h-Testing-Platform-Interaction.md#testing-ios-webviews-mstg-platform-5"),"Testing iOS WebViews (MSTG-PLATFORM-5)")</f>
        <v>Testing iOS WebViews (MSTG-PLATFORM-5)</v>
      </c>
      <c r="I59" s="63"/>
      <c r="J59" s="63"/>
      <c r="K59" s="63"/>
    </row>
    <row r="60" spans="2:11" ht="29">
      <c r="B60" s="89" t="s">
        <v>55</v>
      </c>
      <c r="C60" s="92" t="s">
        <v>321</v>
      </c>
      <c r="D60" s="49" t="s">
        <v>244</v>
      </c>
      <c r="E60" s="26" t="s">
        <v>3</v>
      </c>
      <c r="F60" s="45" t="s">
        <v>3</v>
      </c>
      <c r="G60" s="33" t="s">
        <v>64</v>
      </c>
      <c r="H60" s="109" t="str">
        <f>HYPERLINK(CONCATENATE(BASE_URL,"0x06h-Testing-Platform-Interaction.md#testing-webview-protocol-handlers-mstg-platform-6"),"Testing WebView Protocol Handlers (MSTG-PLATFORM-6)")</f>
        <v>Testing WebView Protocol Handlers (MSTG-PLATFORM-6)</v>
      </c>
      <c r="I60" s="63"/>
      <c r="J60" s="63"/>
      <c r="K60" s="63"/>
    </row>
    <row r="61" spans="2:11" ht="29">
      <c r="B61" s="89" t="s">
        <v>268</v>
      </c>
      <c r="C61" s="92" t="s">
        <v>322</v>
      </c>
      <c r="D61" s="49" t="s">
        <v>165</v>
      </c>
      <c r="E61" s="26" t="s">
        <v>3</v>
      </c>
      <c r="F61" s="45" t="s">
        <v>3</v>
      </c>
      <c r="G61" s="33" t="s">
        <v>64</v>
      </c>
      <c r="H61" s="109"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1" s="63"/>
      <c r="J61" s="63"/>
      <c r="K61" s="63"/>
    </row>
    <row r="62" spans="2:11">
      <c r="B62" s="89" t="s">
        <v>269</v>
      </c>
      <c r="C62" s="92" t="s">
        <v>323</v>
      </c>
      <c r="D62" s="49" t="s">
        <v>166</v>
      </c>
      <c r="E62" s="26" t="s">
        <v>3</v>
      </c>
      <c r="F62" s="45" t="s">
        <v>3</v>
      </c>
      <c r="G62" s="33" t="s">
        <v>72</v>
      </c>
      <c r="H62" s="109" t="str">
        <f>HYPERLINK(CONCATENATE(BASE_URL,"0x06h-Testing-Platform-Interaction.md#testing-object-persistence-mstg-platform-8"),"Testing Object Persistence (MSTG-PLATFORM-8)")</f>
        <v>Testing Object Persistence (MSTG-PLATFORM-8)</v>
      </c>
      <c r="I62" s="63"/>
      <c r="J62" s="63"/>
      <c r="K62" s="63"/>
    </row>
    <row r="63" spans="2:11">
      <c r="B63" s="34" t="s">
        <v>33</v>
      </c>
      <c r="C63" s="47"/>
      <c r="D63" s="69" t="s">
        <v>118</v>
      </c>
      <c r="E63" s="35"/>
      <c r="F63" s="47"/>
      <c r="G63" s="35"/>
      <c r="H63" s="106"/>
      <c r="I63" s="36"/>
      <c r="J63" s="36"/>
      <c r="K63" s="36"/>
    </row>
    <row r="64" spans="2:11">
      <c r="B64" s="89" t="s">
        <v>56</v>
      </c>
      <c r="C64" s="92" t="s">
        <v>324</v>
      </c>
      <c r="D64" s="49" t="s">
        <v>245</v>
      </c>
      <c r="E64" s="26" t="s">
        <v>3</v>
      </c>
      <c r="F64" s="45" t="s">
        <v>3</v>
      </c>
      <c r="G64" s="33" t="s">
        <v>64</v>
      </c>
      <c r="H64" s="109" t="str">
        <f>HYPERLINK(CONCATENATE(BASE_URL,"0x06i-Testing-Code-Quality-and-Build-Settings.md#making-sure-that-the-app-is-properly-signed-mstg-code-1"),"Making Sure that the App Is Properly Signed (MSTG-CODE-1)")</f>
        <v>Making Sure that the App Is Properly Signed (MSTG-CODE-1)</v>
      </c>
      <c r="I64" s="63"/>
      <c r="J64" s="63"/>
      <c r="K64" s="63"/>
    </row>
    <row r="65" spans="2:11">
      <c r="B65" s="89" t="s">
        <v>34</v>
      </c>
      <c r="C65" s="92" t="s">
        <v>325</v>
      </c>
      <c r="D65" s="49" t="s">
        <v>167</v>
      </c>
      <c r="E65" s="26" t="s">
        <v>3</v>
      </c>
      <c r="F65" s="45" t="s">
        <v>3</v>
      </c>
      <c r="G65" s="33" t="s">
        <v>64</v>
      </c>
      <c r="H65" s="109" t="str">
        <f>HYPERLINK(CONCATENATE(BASE_URL,"0x06i-Testing-Code-Quality-and-Build-Settings.md#determining-whether-the-app-is-debuggable-mstg-code-2"),"Determining Whether the App is Debuggable (MSTG-CODE-2)")</f>
        <v>Determining Whether the App is Debuggable (MSTG-CODE-2)</v>
      </c>
      <c r="I65" s="63"/>
      <c r="J65" s="63"/>
      <c r="K65" s="63"/>
    </row>
    <row r="66" spans="2:11">
      <c r="B66" s="89" t="s">
        <v>57</v>
      </c>
      <c r="C66" s="92" t="s">
        <v>326</v>
      </c>
      <c r="D66" s="49" t="s">
        <v>168</v>
      </c>
      <c r="E66" s="26" t="s">
        <v>3</v>
      </c>
      <c r="F66" s="45" t="s">
        <v>3</v>
      </c>
      <c r="G66" s="33" t="s">
        <v>64</v>
      </c>
      <c r="H66" s="109" t="str">
        <f>HYPERLINK(CONCATENATE(BASE_URL,"0x06i-Testing-Code-Quality-and-Build-Settings.md#finding-debugging-symbols-mstg-code-3"),"Finding Debugging Symbols (MSTG-CODE-3)")</f>
        <v>Finding Debugging Symbols (MSTG-CODE-3)</v>
      </c>
      <c r="I66" s="63"/>
      <c r="J66" s="63"/>
      <c r="K66" s="63"/>
    </row>
    <row r="67" spans="2:11">
      <c r="B67" s="89" t="s">
        <v>58</v>
      </c>
      <c r="C67" s="92" t="s">
        <v>327</v>
      </c>
      <c r="D67" s="49" t="s">
        <v>169</v>
      </c>
      <c r="E67" s="26" t="s">
        <v>3</v>
      </c>
      <c r="F67" s="45" t="s">
        <v>3</v>
      </c>
      <c r="G67" s="33" t="s">
        <v>64</v>
      </c>
      <c r="H67" s="109" t="str">
        <f>HYPERLINK(CONCATENATE(BASE_URL,"0x06i-Testing-Code-Quality-and-Build-Settings.md#finding-debugging-code-and-verbose-error-logging-mstg-code-4"),"Finding Debugging Code and Verbose Error Logging (MSTG-CODE-4)")</f>
        <v>Finding Debugging Code and Verbose Error Logging (MSTG-CODE-4)</v>
      </c>
      <c r="I67" s="63"/>
      <c r="J67" s="63"/>
      <c r="K67" s="63"/>
    </row>
    <row r="68" spans="2:11">
      <c r="B68" s="89" t="s">
        <v>59</v>
      </c>
      <c r="C68" s="92" t="s">
        <v>328</v>
      </c>
      <c r="D68" s="49" t="s">
        <v>170</v>
      </c>
      <c r="E68" s="26" t="s">
        <v>3</v>
      </c>
      <c r="F68" s="45" t="s">
        <v>3</v>
      </c>
      <c r="G68" s="33" t="s">
        <v>64</v>
      </c>
      <c r="H68" s="111" t="str">
        <f>HYPERLINK(CONCATENATE(BASE_URL,"0x06i-Testing-Code-Quality-and-Build-Settings.md#checking-for-weaknesses-in-third-party-libraries-mstg-code-5"),"Checking for Weaknesses in Third Party Libraries (MSTG-CODE-5)")</f>
        <v>Checking for Weaknesses in Third Party Libraries (MSTG-CODE-5)</v>
      </c>
      <c r="I68" s="63"/>
      <c r="J68" s="63"/>
      <c r="K68" s="63"/>
    </row>
    <row r="69" spans="2:11">
      <c r="B69" s="89" t="s">
        <v>35</v>
      </c>
      <c r="C69" s="92" t="s">
        <v>329</v>
      </c>
      <c r="D69" s="49" t="s">
        <v>171</v>
      </c>
      <c r="E69" s="26" t="s">
        <v>3</v>
      </c>
      <c r="F69" s="45" t="s">
        <v>3</v>
      </c>
      <c r="G69" s="33" t="s">
        <v>64</v>
      </c>
      <c r="H69" s="109" t="str">
        <f>HYPERLINK(CONCATENATE(BASE_URL,"0x06i-Testing-Code-Quality-and-Build-Settings.md#testing-exception-handling-mstg-code-6"),"Testing Exception Handling (MSTG-CODE-6)")</f>
        <v>Testing Exception Handling (MSTG-CODE-6)</v>
      </c>
      <c r="I69" s="63"/>
      <c r="J69" s="63"/>
      <c r="K69" s="63"/>
    </row>
    <row r="70" spans="2:11">
      <c r="B70" s="89" t="s">
        <v>36</v>
      </c>
      <c r="C70" s="92" t="s">
        <v>330</v>
      </c>
      <c r="D70" s="49" t="s">
        <v>172</v>
      </c>
      <c r="E70" s="26" t="s">
        <v>3</v>
      </c>
      <c r="F70" s="45" t="s">
        <v>3</v>
      </c>
      <c r="G70" s="33" t="s">
        <v>64</v>
      </c>
      <c r="H70" s="109" t="str">
        <f>HYPERLINK(CONCATENATE(BASE_URL,"0x06i-Testing-Code-Quality-and-Build-Settings.md#testing-exception-handling-mstg-code-6"),"Testing Exception Handling (MSTG-CODE-6)")</f>
        <v>Testing Exception Handling (MSTG-CODE-6)</v>
      </c>
      <c r="I70" s="63"/>
      <c r="J70" s="63"/>
      <c r="K70" s="63"/>
    </row>
    <row r="71" spans="2:11">
      <c r="B71" s="89" t="s">
        <v>37</v>
      </c>
      <c r="C71" s="92" t="s">
        <v>331</v>
      </c>
      <c r="D71" s="49" t="s">
        <v>173</v>
      </c>
      <c r="E71" s="26" t="s">
        <v>3</v>
      </c>
      <c r="F71" s="45" t="s">
        <v>3</v>
      </c>
      <c r="G71" s="33" t="s">
        <v>64</v>
      </c>
      <c r="H71" s="109" t="str">
        <f>HYPERLINK(CONCATENATE(BASE_URL,"0x06i-Testing-Code-Quality-and-Build-Settings.md#memory-corruption-bugs-mstg-code-8"),"Memory Corruption Bugs (MSTG-CODE-8)")</f>
        <v>Memory Corruption Bugs (MSTG-CODE-8)</v>
      </c>
      <c r="I71" s="63"/>
      <c r="J71" s="63"/>
      <c r="K71" s="63"/>
    </row>
    <row r="72" spans="2:11" ht="29">
      <c r="B72" s="89" t="s">
        <v>95</v>
      </c>
      <c r="C72" s="92" t="s">
        <v>332</v>
      </c>
      <c r="D72" s="49" t="s">
        <v>246</v>
      </c>
      <c r="E72" s="26" t="s">
        <v>3</v>
      </c>
      <c r="F72" s="45" t="s">
        <v>3</v>
      </c>
      <c r="G72" s="33" t="s">
        <v>64</v>
      </c>
      <c r="H72" s="109" t="str">
        <f>HYPERLINK(CONCATENATE(BASE_URL,"0x06i-Testing-Code-Quality-and-Build-Settings.md#make-sure-that-free-security-features-are-activated-mstg-code-9"),"Make Sure That Free Security Features Are Activated (MSTG-CODE-9)")</f>
        <v>Make Sure That Free Security Features Are Activated (MSTG-CODE-9)</v>
      </c>
      <c r="I72" s="63"/>
      <c r="J72" s="63"/>
      <c r="K72" s="63"/>
    </row>
    <row r="73" spans="2:11">
      <c r="B73" s="37"/>
      <c r="C73" s="39"/>
      <c r="D73" s="38"/>
      <c r="E73" s="39"/>
      <c r="F73" s="39"/>
      <c r="G73" s="39"/>
      <c r="H73" s="39"/>
      <c r="I73" s="40"/>
      <c r="J73" s="40"/>
      <c r="K73" s="40"/>
    </row>
    <row r="74" spans="2:11">
      <c r="B74" s="41"/>
      <c r="C74" s="41"/>
      <c r="D74" s="41"/>
      <c r="E74" s="41"/>
      <c r="F74" s="41"/>
      <c r="G74" s="41"/>
      <c r="H74" s="41"/>
      <c r="I74" s="41"/>
      <c r="J74" s="41"/>
      <c r="K74" s="41"/>
    </row>
    <row r="75" spans="2:11">
      <c r="B75" s="41"/>
      <c r="C75" s="41"/>
      <c r="D75" s="41"/>
      <c r="E75" s="41"/>
      <c r="F75" s="41"/>
      <c r="G75" s="41"/>
      <c r="H75" s="41"/>
      <c r="I75" s="41"/>
      <c r="J75" s="41"/>
      <c r="K75" s="41"/>
    </row>
    <row r="76" spans="2:11">
      <c r="B76" s="41"/>
      <c r="C76" s="41"/>
      <c r="D76" s="41"/>
      <c r="E76" s="41"/>
      <c r="F76" s="41"/>
      <c r="G76" s="41"/>
      <c r="H76" s="41"/>
      <c r="I76" s="41"/>
      <c r="J76" s="41"/>
      <c r="K76" s="41"/>
    </row>
    <row r="77" spans="2:11">
      <c r="B77" s="72" t="s">
        <v>215</v>
      </c>
      <c r="C77" s="72"/>
      <c r="D77" s="42"/>
      <c r="E77" s="41"/>
      <c r="F77" s="41"/>
      <c r="G77" s="41"/>
      <c r="H77" s="41"/>
      <c r="I77" s="41"/>
      <c r="J77" s="41"/>
      <c r="K77" s="41"/>
    </row>
    <row r="78" spans="2:11">
      <c r="B78" s="73" t="s">
        <v>220</v>
      </c>
      <c r="C78" s="73"/>
      <c r="D78" s="73" t="s">
        <v>216</v>
      </c>
      <c r="E78" s="41"/>
      <c r="F78" s="41"/>
      <c r="G78" s="41"/>
      <c r="H78" s="41"/>
      <c r="I78" s="41"/>
      <c r="J78" s="41"/>
      <c r="K78" s="41"/>
    </row>
    <row r="79" spans="2:11">
      <c r="B79" s="43" t="s">
        <v>71</v>
      </c>
      <c r="C79" s="93"/>
      <c r="D79" s="74" t="s">
        <v>217</v>
      </c>
      <c r="E79" s="41"/>
      <c r="F79" s="41"/>
      <c r="G79" s="41"/>
      <c r="H79" s="41"/>
      <c r="I79" s="41"/>
      <c r="J79" s="41"/>
      <c r="K79" s="41"/>
    </row>
    <row r="80" spans="2:11">
      <c r="B80" s="43" t="s">
        <v>72</v>
      </c>
      <c r="C80" s="93"/>
      <c r="D80" s="74" t="s">
        <v>218</v>
      </c>
      <c r="E80" s="41"/>
      <c r="F80" s="41"/>
      <c r="G80" s="41"/>
      <c r="H80" s="41"/>
      <c r="I80" s="41"/>
      <c r="J80" s="41"/>
      <c r="K80" s="41"/>
    </row>
    <row r="81" spans="2:11">
      <c r="B81" s="43" t="s">
        <v>64</v>
      </c>
      <c r="C81" s="93"/>
      <c r="D81" s="74" t="s">
        <v>219</v>
      </c>
      <c r="E81" s="41"/>
      <c r="F81" s="41"/>
      <c r="G81" s="41"/>
      <c r="H81" s="41"/>
      <c r="I81" s="41"/>
      <c r="J81" s="41"/>
      <c r="K81" s="41"/>
    </row>
    <row r="82" spans="2:11">
      <c r="B82" s="24"/>
      <c r="C82" s="24"/>
      <c r="D82" s="24"/>
      <c r="E82" s="24"/>
      <c r="F82" s="24"/>
      <c r="G82" s="24"/>
      <c r="H82" s="41"/>
      <c r="I82" s="112"/>
      <c r="J82" s="112"/>
      <c r="K82" s="24"/>
    </row>
    <row r="83" spans="2:11">
      <c r="B83" s="24"/>
      <c r="C83" s="24"/>
      <c r="D83" s="24"/>
      <c r="E83" s="24"/>
      <c r="F83" s="24"/>
      <c r="G83" s="24"/>
      <c r="H83" s="41"/>
      <c r="I83" s="112"/>
      <c r="J83" s="112"/>
      <c r="K83" s="24"/>
    </row>
    <row r="84" spans="2:11">
      <c r="B84" s="24"/>
      <c r="C84" s="24"/>
      <c r="D84" s="24"/>
      <c r="E84" s="24"/>
      <c r="F84" s="24"/>
      <c r="G84" s="24"/>
      <c r="H84" s="41"/>
      <c r="I84" s="112"/>
      <c r="J84" s="112"/>
      <c r="K84" s="24"/>
    </row>
    <row r="85" spans="2:11">
      <c r="B85" s="24"/>
      <c r="C85" s="24"/>
      <c r="D85" s="24"/>
      <c r="E85" s="24"/>
      <c r="F85" s="24"/>
      <c r="G85" s="24"/>
      <c r="H85" s="112"/>
      <c r="I85" s="112"/>
      <c r="J85" s="112"/>
      <c r="K85" s="24"/>
    </row>
  </sheetData>
  <mergeCells count="2">
    <mergeCell ref="H4:I4"/>
    <mergeCell ref="H3:J3"/>
  </mergeCells>
  <conditionalFormatting sqref="H5:H26 H28:H72">
    <cfRule type="containsText" dxfId="8" priority="1" operator="containsText" text="0x05">
      <formula>NOT(ISERROR(SEARCH("0x05",H5)))</formula>
    </cfRule>
  </conditionalFormatting>
  <dataValidations count="2">
    <dataValidation type="list" allowBlank="1" showInputMessage="1" showErrorMessage="1" sqref="G74:G1048576 I74:K1048576" xr:uid="{00000000-0002-0000-0400-000000000000}">
      <formula1>"Yes,No,N/A"</formula1>
    </dataValidation>
    <dataValidation type="list" allowBlank="1" showInputMessage="1" showErrorMessage="1" sqref="G16:G27 G29:G34 G36:G46 G48:G53 G64:G72 G5:G14 G55:G62" xr:uid="{00000000-0002-0000-0400-000001000000}">
      <formula1>"Pass,Fail,N/A"</formula1>
    </dataValidation>
  </dataValidations>
  <pageMargins left="0.75" right="0.75" top="1" bottom="1" header="0.5" footer="0.5"/>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2"/>
  <sheetViews>
    <sheetView zoomScale="72" zoomScaleNormal="72" zoomScalePageLayoutView="130" workbookViewId="0">
      <selection activeCell="G17" sqref="G17"/>
    </sheetView>
  </sheetViews>
  <sheetFormatPr baseColWidth="10" defaultColWidth="11" defaultRowHeight="15.5"/>
  <cols>
    <col min="1" max="1" width="1.75" customWidth="1"/>
    <col min="2" max="2" width="7.25" customWidth="1"/>
    <col min="3" max="3" width="17.83203125" customWidth="1"/>
    <col min="4" max="4" width="99.75" customWidth="1"/>
    <col min="7" max="7" width="61.83203125" customWidth="1"/>
    <col min="8" max="8" width="30.75" customWidth="1"/>
  </cols>
  <sheetData>
    <row r="1" spans="2:8" ht="18.5">
      <c r="B1" s="7" t="s">
        <v>189</v>
      </c>
      <c r="C1" s="7"/>
      <c r="G1" s="112"/>
      <c r="H1" s="24"/>
    </row>
    <row r="2" spans="2:8">
      <c r="G2" s="112"/>
      <c r="H2" s="24"/>
    </row>
    <row r="3" spans="2:8">
      <c r="B3" s="27" t="s">
        <v>0</v>
      </c>
      <c r="C3" s="28" t="s">
        <v>270</v>
      </c>
      <c r="D3" s="67" t="s">
        <v>119</v>
      </c>
      <c r="E3" s="28" t="s">
        <v>38</v>
      </c>
      <c r="F3" s="75" t="s">
        <v>223</v>
      </c>
      <c r="G3" s="114" t="s">
        <v>347</v>
      </c>
      <c r="H3" s="76" t="s">
        <v>225</v>
      </c>
    </row>
    <row r="4" spans="2:8">
      <c r="B4" s="34" t="s">
        <v>120</v>
      </c>
      <c r="C4" s="47"/>
      <c r="D4" s="69" t="s">
        <v>185</v>
      </c>
      <c r="E4" s="35"/>
      <c r="F4" s="35"/>
      <c r="G4" s="115"/>
      <c r="H4" s="36"/>
    </row>
    <row r="5" spans="2:8" ht="29">
      <c r="B5" s="62" t="s">
        <v>250</v>
      </c>
      <c r="C5" s="90" t="s">
        <v>333</v>
      </c>
      <c r="D5" s="32" t="s">
        <v>174</v>
      </c>
      <c r="E5" s="25" t="s">
        <v>3</v>
      </c>
      <c r="F5" s="33" t="s">
        <v>64</v>
      </c>
      <c r="G5" s="109" t="str">
        <f>HYPERLINK(CONCATENATE(BASE_URL,"0x06j-Testing-Resiliency-Against-Reverse-Engineering.md#jailbreak-detection-mstg-resilience-1"),"Jailbreak Detection (MSTG-RESILIENCE-1)")</f>
        <v>Jailbreak Detection (MSTG-RESILIENCE-1)</v>
      </c>
      <c r="H5" s="63"/>
    </row>
    <row r="6" spans="2:8">
      <c r="B6" s="62" t="s">
        <v>251</v>
      </c>
      <c r="C6" s="90" t="s">
        <v>344</v>
      </c>
      <c r="D6" s="32" t="s">
        <v>175</v>
      </c>
      <c r="E6" s="25" t="s">
        <v>3</v>
      </c>
      <c r="F6" s="33" t="s">
        <v>64</v>
      </c>
      <c r="G6" s="116" t="str">
        <f>HYPERLINK(CONCATENATE(BASE_URL,"0x06j-Testing-Resiliency-Against-Reverse-Engineering.md#anti-debugging-checks-mstg-resilience-2"),"Anti-Debugging Checks (MSTG-RESILIENCE-2)")</f>
        <v>Anti-Debugging Checks (MSTG-RESILIENCE-2)</v>
      </c>
      <c r="H6" s="63"/>
    </row>
    <row r="7" spans="2:8">
      <c r="B7" s="62" t="s">
        <v>252</v>
      </c>
      <c r="C7" s="90" t="s">
        <v>334</v>
      </c>
      <c r="D7" s="32" t="s">
        <v>176</v>
      </c>
      <c r="E7" s="25" t="s">
        <v>3</v>
      </c>
      <c r="F7" s="33" t="s">
        <v>64</v>
      </c>
      <c r="G7" s="116" t="str">
        <f>HYPERLINK(CONCATENATE(BASE_URL,"0x06j-Testing-Resiliency-Against-Reverse-Engineering.md#file-integrity-checks-mstg-resilience-3-and-mstg-resilience-11"),"File Integrity Checks (MSTG-RESILIENCE-3 and MSTG-RESILIENCE-11)")</f>
        <v>File Integrity Checks (MSTG-RESILIENCE-3 and MSTG-RESILIENCE-11)</v>
      </c>
      <c r="H7" s="63"/>
    </row>
    <row r="8" spans="2:8">
      <c r="B8" s="62" t="s">
        <v>253</v>
      </c>
      <c r="C8" s="90" t="s">
        <v>335</v>
      </c>
      <c r="D8" s="32" t="s">
        <v>177</v>
      </c>
      <c r="E8" s="25" t="s">
        <v>3</v>
      </c>
      <c r="F8" s="33" t="s">
        <v>64</v>
      </c>
      <c r="G8" s="121" t="s">
        <v>81</v>
      </c>
      <c r="H8" s="63"/>
    </row>
    <row r="9" spans="2:8">
      <c r="B9" s="62" t="s">
        <v>254</v>
      </c>
      <c r="C9" s="90" t="s">
        <v>336</v>
      </c>
      <c r="D9" s="32" t="s">
        <v>178</v>
      </c>
      <c r="E9" s="25" t="s">
        <v>3</v>
      </c>
      <c r="F9" s="33" t="s">
        <v>64</v>
      </c>
      <c r="G9" s="122" t="s">
        <v>81</v>
      </c>
      <c r="H9" s="63"/>
    </row>
    <row r="10" spans="2:8">
      <c r="B10" s="62" t="s">
        <v>255</v>
      </c>
      <c r="C10" s="90" t="s">
        <v>337</v>
      </c>
      <c r="D10" s="32" t="s">
        <v>179</v>
      </c>
      <c r="E10" s="25" t="s">
        <v>3</v>
      </c>
      <c r="F10" s="33" t="s">
        <v>64</v>
      </c>
      <c r="G10" s="121" t="s">
        <v>81</v>
      </c>
      <c r="H10" s="63"/>
    </row>
    <row r="11" spans="2:8" ht="29">
      <c r="B11" s="62" t="s">
        <v>256</v>
      </c>
      <c r="C11" s="90" t="s">
        <v>338</v>
      </c>
      <c r="D11" s="32" t="s">
        <v>249</v>
      </c>
      <c r="E11" s="25" t="s">
        <v>3</v>
      </c>
      <c r="F11" s="33" t="s">
        <v>64</v>
      </c>
      <c r="G11" s="119" t="s">
        <v>81</v>
      </c>
      <c r="H11" s="63"/>
    </row>
    <row r="12" spans="2:8">
      <c r="B12" s="62" t="s">
        <v>257</v>
      </c>
      <c r="C12" s="90" t="s">
        <v>339</v>
      </c>
      <c r="D12" s="32" t="s">
        <v>180</v>
      </c>
      <c r="E12" s="25" t="s">
        <v>3</v>
      </c>
      <c r="F12" s="33" t="s">
        <v>64</v>
      </c>
      <c r="G12" s="119" t="s">
        <v>81</v>
      </c>
      <c r="H12" s="63"/>
    </row>
    <row r="13" spans="2:8">
      <c r="B13" s="62" t="s">
        <v>97</v>
      </c>
      <c r="C13" s="90" t="s">
        <v>340</v>
      </c>
      <c r="D13" s="32" t="s">
        <v>181</v>
      </c>
      <c r="E13" s="25" t="s">
        <v>3</v>
      </c>
      <c r="F13" s="33" t="s">
        <v>64</v>
      </c>
      <c r="G13" s="122" t="s">
        <v>81</v>
      </c>
      <c r="H13" s="63"/>
    </row>
    <row r="14" spans="2:8">
      <c r="B14" s="34"/>
      <c r="C14" s="47"/>
      <c r="D14" s="69" t="s">
        <v>183</v>
      </c>
      <c r="E14" s="35"/>
      <c r="F14" s="35"/>
      <c r="G14" s="115"/>
      <c r="H14" s="36"/>
    </row>
    <row r="15" spans="2:8" ht="29">
      <c r="B15" s="62" t="s">
        <v>60</v>
      </c>
      <c r="C15" s="90" t="s">
        <v>341</v>
      </c>
      <c r="D15" s="32" t="s">
        <v>248</v>
      </c>
      <c r="E15" s="25" t="s">
        <v>3</v>
      </c>
      <c r="F15" s="33" t="s">
        <v>64</v>
      </c>
      <c r="G15" s="109" t="str">
        <f>HYPERLINK(CONCATENATE(BASE_URL,"0x06j-Testing-Resiliency-Against-Reverse-Engineering.md#device-binding-mstg-resilience-10"),"Device Binding (MSTG-RESILIENCE-10)")</f>
        <v>Device Binding (MSTG-RESILIENCE-10)</v>
      </c>
      <c r="H15" s="63"/>
    </row>
    <row r="16" spans="2:8">
      <c r="B16" s="34"/>
      <c r="C16" s="47"/>
      <c r="D16" s="69" t="s">
        <v>184</v>
      </c>
      <c r="E16" s="35"/>
      <c r="F16" s="35"/>
      <c r="G16" s="115"/>
      <c r="H16" s="36"/>
    </row>
    <row r="17" spans="2:8" ht="43.5">
      <c r="B17" s="62" t="s">
        <v>258</v>
      </c>
      <c r="C17" s="90" t="s">
        <v>342</v>
      </c>
      <c r="D17" s="32" t="s">
        <v>182</v>
      </c>
      <c r="E17" s="25" t="s">
        <v>3</v>
      </c>
      <c r="F17" s="33" t="s">
        <v>64</v>
      </c>
      <c r="G17" s="123" t="str">
        <f>HYPERLINK(CONCATENATE(BASE_URL,"0x06j-Testing-Resiliency-Against-Reverse-Engineering.md#file-integrity-checks-mstg-resilience-3-and-mstg-resilience-11"),"File Integrity Checks (MSTG-RESILIENCE-3 and MSTG-RESILIENCE-11)")</f>
        <v>File Integrity Checks (MSTG-RESILIENCE-3 and MSTG-RESILIENCE-11)</v>
      </c>
      <c r="H17" s="63"/>
    </row>
    <row r="18" spans="2:8" ht="72.5">
      <c r="B18" s="62" t="s">
        <v>259</v>
      </c>
      <c r="C18" s="90" t="s">
        <v>343</v>
      </c>
      <c r="D18" s="32" t="s">
        <v>247</v>
      </c>
      <c r="E18" s="25" t="s">
        <v>3</v>
      </c>
      <c r="F18" s="33" t="s">
        <v>64</v>
      </c>
      <c r="G18" s="119" t="s">
        <v>81</v>
      </c>
      <c r="H18" s="63"/>
    </row>
    <row r="19" spans="2:8">
      <c r="B19" s="37"/>
      <c r="C19" s="39"/>
      <c r="D19" s="38"/>
      <c r="E19" s="39"/>
      <c r="F19" s="39"/>
      <c r="G19" s="120"/>
      <c r="H19" s="40"/>
    </row>
    <row r="20" spans="2:8">
      <c r="B20" s="41"/>
      <c r="C20" s="41"/>
      <c r="D20" s="41"/>
      <c r="E20" s="41"/>
      <c r="F20" s="41"/>
      <c r="G20" s="41"/>
      <c r="H20" s="41"/>
    </row>
    <row r="21" spans="2:8">
      <c r="B21" s="41"/>
      <c r="C21" s="41"/>
      <c r="D21" s="41"/>
      <c r="E21" s="41"/>
      <c r="F21" s="41"/>
      <c r="G21" s="41"/>
      <c r="H21" s="41"/>
    </row>
    <row r="22" spans="2:8">
      <c r="B22" s="72" t="s">
        <v>215</v>
      </c>
      <c r="C22" s="72"/>
      <c r="D22" s="42"/>
      <c r="E22" s="41"/>
      <c r="F22" s="41"/>
      <c r="G22" s="41"/>
      <c r="H22" s="41"/>
    </row>
    <row r="23" spans="2:8">
      <c r="B23" s="73" t="s">
        <v>220</v>
      </c>
      <c r="C23" s="73"/>
      <c r="D23" s="73" t="s">
        <v>216</v>
      </c>
      <c r="E23" s="41"/>
      <c r="F23" s="41"/>
      <c r="G23" s="41"/>
      <c r="H23" s="41"/>
    </row>
    <row r="24" spans="2:8">
      <c r="B24" s="43" t="s">
        <v>71</v>
      </c>
      <c r="C24" s="93"/>
      <c r="D24" s="74" t="s">
        <v>217</v>
      </c>
      <c r="E24" s="41"/>
      <c r="F24" s="41"/>
      <c r="G24" s="41"/>
      <c r="H24" s="41"/>
    </row>
    <row r="25" spans="2:8">
      <c r="B25" s="43" t="s">
        <v>72</v>
      </c>
      <c r="C25" s="93"/>
      <c r="D25" s="74" t="s">
        <v>218</v>
      </c>
      <c r="E25" s="41"/>
      <c r="F25" s="41"/>
      <c r="G25" s="41"/>
      <c r="H25" s="41"/>
    </row>
    <row r="26" spans="2:8">
      <c r="B26" s="43" t="s">
        <v>64</v>
      </c>
      <c r="C26" s="93"/>
      <c r="D26" s="74" t="s">
        <v>219</v>
      </c>
      <c r="E26" s="41"/>
      <c r="F26" s="41"/>
      <c r="G26" s="41"/>
      <c r="H26" s="41"/>
    </row>
    <row r="27" spans="2:8">
      <c r="B27" s="41"/>
      <c r="C27" s="41"/>
      <c r="D27" s="41"/>
      <c r="E27" s="41"/>
      <c r="F27" s="41"/>
      <c r="G27" s="112"/>
      <c r="H27" s="24"/>
    </row>
    <row r="28" spans="2:8">
      <c r="B28" s="41"/>
      <c r="C28" s="41"/>
      <c r="D28" s="41"/>
      <c r="E28" s="41"/>
      <c r="F28" s="41"/>
      <c r="G28" s="112"/>
      <c r="H28" s="24"/>
    </row>
    <row r="29" spans="2:8">
      <c r="B29" s="41"/>
      <c r="C29" s="41"/>
      <c r="D29" s="41"/>
      <c r="E29" s="41"/>
      <c r="F29" s="41"/>
      <c r="G29" s="112"/>
      <c r="H29" s="24"/>
    </row>
    <row r="30" spans="2:8">
      <c r="B30" s="41"/>
      <c r="C30" s="41"/>
      <c r="D30" s="41"/>
      <c r="E30" s="41"/>
      <c r="F30" s="41"/>
    </row>
    <row r="31" spans="2:8">
      <c r="B31" s="41"/>
      <c r="C31" s="41"/>
      <c r="D31" s="41"/>
      <c r="E31" s="41"/>
      <c r="F31" s="41"/>
    </row>
    <row r="32" spans="2:8">
      <c r="B32" s="41"/>
      <c r="C32" s="41"/>
      <c r="D32" s="41"/>
      <c r="E32" s="41"/>
      <c r="F32" s="41"/>
    </row>
  </sheetData>
  <conditionalFormatting sqref="G8">
    <cfRule type="containsText" dxfId="7" priority="8" operator="containsText" text="0x05">
      <formula>NOT(ISERROR(SEARCH("0x05",G8)))</formula>
    </cfRule>
  </conditionalFormatting>
  <conditionalFormatting sqref="G9">
    <cfRule type="containsText" dxfId="6" priority="7" operator="containsText" text="0x05">
      <formula>NOT(ISERROR(SEARCH("0x05",G9)))</formula>
    </cfRule>
  </conditionalFormatting>
  <conditionalFormatting sqref="G10">
    <cfRule type="containsText" dxfId="5" priority="6"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4" operator="containsText" text="0x05">
      <formula>NOT(ISERROR(SEARCH("0x05",G12)))</formula>
    </cfRule>
  </conditionalFormatting>
  <conditionalFormatting sqref="G13">
    <cfRule type="containsText" dxfId="2" priority="3" operator="containsText" text="0x05">
      <formula>NOT(ISERROR(SEARCH("0x05",G13)))</formula>
    </cfRule>
  </conditionalFormatting>
  <conditionalFormatting sqref="G17">
    <cfRule type="containsText" dxfId="1" priority="2" operator="containsText" text="0x05">
      <formula>NOT(ISERROR(SEARCH("0x05",G17)))</formula>
    </cfRule>
  </conditionalFormatting>
  <conditionalFormatting sqref="G18">
    <cfRule type="containsText" dxfId="0" priority="1" operator="containsText" text="0x05">
      <formula>NOT(ISERROR(SEARCH("0x05",G18)))</formula>
    </cfRule>
  </conditionalFormatting>
  <dataValidations count="1">
    <dataValidation type="list" allowBlank="1" showInputMessage="1" showErrorMessage="1" sqref="F15 F17:F18 F5:F13" xr:uid="{00000000-0002-0000-0500-000000000000}">
      <formula1>"Pass,Fail,N/A"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5"/>
  <sheetViews>
    <sheetView showGridLines="0" zoomScale="54" zoomScaleNormal="54" workbookViewId="0">
      <selection activeCell="C15" sqref="C15"/>
    </sheetView>
  </sheetViews>
  <sheetFormatPr baseColWidth="10" defaultColWidth="11" defaultRowHeight="15.5"/>
  <cols>
    <col min="1" max="1" width="30.25" bestFit="1" customWidth="1"/>
    <col min="4" max="4" width="129.75" customWidth="1"/>
  </cols>
  <sheetData>
    <row r="1" spans="1:4">
      <c r="A1" s="178" t="s">
        <v>61</v>
      </c>
      <c r="B1" s="178"/>
      <c r="C1" s="44"/>
      <c r="D1" s="44"/>
    </row>
    <row r="2" spans="1:4">
      <c r="A2" s="58" t="s">
        <v>83</v>
      </c>
      <c r="B2" s="58" t="s">
        <v>65</v>
      </c>
      <c r="C2" s="58" t="s">
        <v>84</v>
      </c>
      <c r="D2" s="59" t="s">
        <v>70</v>
      </c>
    </row>
    <row r="3" spans="1:4">
      <c r="A3" s="56" t="s">
        <v>62</v>
      </c>
      <c r="B3" s="60">
        <v>0.1</v>
      </c>
      <c r="C3" s="57">
        <v>42765</v>
      </c>
      <c r="D3" s="55" t="s">
        <v>85</v>
      </c>
    </row>
    <row r="4" spans="1:4">
      <c r="A4" s="55" t="s">
        <v>63</v>
      </c>
      <c r="B4" s="60">
        <v>0.2</v>
      </c>
      <c r="C4" s="57">
        <v>42766</v>
      </c>
      <c r="D4" s="55" t="s">
        <v>86</v>
      </c>
    </row>
    <row r="5" spans="1:4">
      <c r="A5" s="55" t="s">
        <v>79</v>
      </c>
      <c r="B5" s="60">
        <v>0.3</v>
      </c>
      <c r="C5" s="57">
        <v>42778</v>
      </c>
      <c r="D5" s="55" t="s">
        <v>87</v>
      </c>
    </row>
    <row r="6" spans="1:4">
      <c r="A6" s="55" t="s">
        <v>80</v>
      </c>
      <c r="B6" s="60" t="s">
        <v>82</v>
      </c>
      <c r="C6" s="57">
        <v>42780</v>
      </c>
      <c r="D6" s="55" t="s">
        <v>88</v>
      </c>
    </row>
    <row r="7" spans="1:4">
      <c r="A7" s="55" t="s">
        <v>63</v>
      </c>
      <c r="B7" s="61" t="s">
        <v>89</v>
      </c>
      <c r="C7" s="57">
        <v>42781</v>
      </c>
      <c r="D7" s="55" t="s">
        <v>90</v>
      </c>
    </row>
    <row r="8" spans="1:4">
      <c r="A8" s="55" t="s">
        <v>80</v>
      </c>
      <c r="B8" s="61" t="s">
        <v>91</v>
      </c>
      <c r="C8" s="57">
        <v>42829</v>
      </c>
      <c r="D8" s="55" t="s">
        <v>92</v>
      </c>
    </row>
    <row r="9" spans="1:4">
      <c r="A9" s="55" t="s">
        <v>63</v>
      </c>
      <c r="B9" s="61" t="s">
        <v>91</v>
      </c>
      <c r="C9" s="57">
        <v>42919</v>
      </c>
      <c r="D9" s="55" t="s">
        <v>94</v>
      </c>
    </row>
    <row r="10" spans="1:4">
      <c r="A10" s="55" t="s">
        <v>63</v>
      </c>
      <c r="B10" s="61" t="s">
        <v>98</v>
      </c>
      <c r="C10" s="57">
        <v>42963</v>
      </c>
      <c r="D10" s="55" t="s">
        <v>96</v>
      </c>
    </row>
    <row r="11" spans="1:4">
      <c r="A11" s="55" t="s">
        <v>63</v>
      </c>
      <c r="B11" s="64" t="s">
        <v>99</v>
      </c>
      <c r="C11" s="57">
        <v>43113</v>
      </c>
      <c r="D11" s="55" t="s">
        <v>100</v>
      </c>
    </row>
    <row r="12" spans="1:4">
      <c r="A12" s="55" t="s">
        <v>214</v>
      </c>
      <c r="B12" s="64" t="s">
        <v>227</v>
      </c>
      <c r="C12" s="57">
        <v>43266</v>
      </c>
      <c r="D12" s="79" t="s">
        <v>226</v>
      </c>
    </row>
    <row r="13" spans="1:4">
      <c r="A13" s="80" t="s">
        <v>232</v>
      </c>
      <c r="B13" s="77" t="s">
        <v>235</v>
      </c>
      <c r="C13" s="78">
        <v>43641</v>
      </c>
      <c r="D13" s="79" t="s">
        <v>231</v>
      </c>
    </row>
    <row r="14" spans="1:4" ht="14.25" customHeight="1">
      <c r="A14" s="97" t="s">
        <v>232</v>
      </c>
      <c r="B14" s="96" t="s">
        <v>236</v>
      </c>
      <c r="C14" s="95">
        <v>43642</v>
      </c>
      <c r="D14" s="88" t="s">
        <v>237</v>
      </c>
    </row>
    <row r="15" spans="1:4" ht="46.5">
      <c r="A15" s="101" t="s">
        <v>232</v>
      </c>
      <c r="B15" s="98" t="s">
        <v>2</v>
      </c>
      <c r="C15" s="99">
        <v>43685</v>
      </c>
      <c r="D15" s="100" t="s">
        <v>345</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3</vt:i4>
      </vt:variant>
    </vt:vector>
  </HeadingPairs>
  <TitlesOfParts>
    <vt:vector size="10"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Erick Moreno</cp:lastModifiedBy>
  <dcterms:created xsi:type="dcterms:W3CDTF">2017-01-25T17:37:15Z</dcterms:created>
  <dcterms:modified xsi:type="dcterms:W3CDTF">2022-02-11T15:39:08Z</dcterms:modified>
</cp:coreProperties>
</file>