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Boot Data\resources\"/>
    </mc:Choice>
  </mc:AlternateContent>
  <xr:revisionPtr revIDLastSave="0" documentId="8_{4B54D4EF-5530-4B49-A090-125F75DA126C}" xr6:coauthVersionLast="47" xr6:coauthVersionMax="47" xr10:uidLastSave="{00000000-0000-0000-0000-000000000000}"/>
  <bookViews>
    <workbookView xWindow="-110" yWindow="-110" windowWidth="19420" windowHeight="10420" firstSheet="5" activeTab="6" xr2:uid="{00000000-000D-0000-FFFF-FFFF00000000}"/>
  </bookViews>
  <sheets>
    <sheet name="Theater outcomes by launch date" sheetId="11" r:id="rId1"/>
    <sheet name="Sheet1" sheetId="13" r:id="rId2"/>
    <sheet name="Outcomes Based on Goals" sheetId="12" r:id="rId3"/>
    <sheet name="KickStarter" sheetId="1" r:id="rId4"/>
    <sheet name="Category Statistics" sheetId="4" r:id="rId5"/>
    <sheet name="Outcomes Based On Launch Date" sheetId="6" r:id="rId6"/>
    <sheet name="Descriptive Statistics" sheetId="10" r:id="rId7"/>
    <sheet name="Subcategory Statistics" sheetId="5" r:id="rId8"/>
    <sheet name="Edinburgh Research" sheetId="7" r:id="rId9"/>
  </sheets>
  <definedNames>
    <definedName name="_xlnm._FilterDatabase" localSheetId="3" hidden="1">KickStarter!$A$1:$U$4115</definedName>
    <definedName name="_xlnm._FilterDatabase" localSheetId="2" hidden="1">'Outcomes Based on Goals'!$A$1:$H$13</definedName>
  </definedNames>
  <calcPr calcId="191029"/>
  <pivotCaches>
    <pivotCache cacheId="0" r:id="rId10"/>
    <pivotCache cacheId="1" r:id="rId11"/>
    <pivotCache cacheId="2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2" l="1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B12" i="12"/>
  <c r="C12" i="12"/>
  <c r="D11" i="12"/>
  <c r="C11" i="12"/>
  <c r="B11" i="12"/>
  <c r="F3" i="12"/>
  <c r="F4" i="12"/>
  <c r="F5" i="12"/>
  <c r="F6" i="12"/>
  <c r="F7" i="12"/>
  <c r="F8" i="12"/>
  <c r="F9" i="12"/>
  <c r="F10" i="12"/>
  <c r="F13" i="12"/>
  <c r="F2" i="12"/>
  <c r="C4" i="12"/>
  <c r="D13" i="12"/>
  <c r="D12" i="12"/>
  <c r="D10" i="12"/>
  <c r="D9" i="12"/>
  <c r="D8" i="12"/>
  <c r="D7" i="12"/>
  <c r="D6" i="12"/>
  <c r="D5" i="12"/>
  <c r="D4" i="12"/>
  <c r="D3" i="12"/>
  <c r="D2" i="12"/>
  <c r="C13" i="12"/>
  <c r="C10" i="12"/>
  <c r="C9" i="12"/>
  <c r="C8" i="12"/>
  <c r="C7" i="12"/>
  <c r="C6" i="12"/>
  <c r="C5" i="12"/>
  <c r="C3" i="12"/>
  <c r="C2" i="12"/>
  <c r="B13" i="12"/>
  <c r="B10" i="12"/>
  <c r="B9" i="12"/>
  <c r="B7" i="12"/>
  <c r="B6" i="12"/>
  <c r="B3" i="12"/>
  <c r="B8" i="12"/>
  <c r="B5" i="12"/>
  <c r="B4" i="12"/>
  <c r="B2" i="12"/>
  <c r="C13" i="10"/>
  <c r="C12" i="10"/>
  <c r="C11" i="10"/>
  <c r="B13" i="10"/>
  <c r="B14" i="10" s="1"/>
  <c r="B12" i="10"/>
  <c r="B11" i="10"/>
  <c r="C6" i="10"/>
  <c r="C5" i="10"/>
  <c r="C7" i="10" s="1"/>
  <c r="C4" i="10"/>
  <c r="B6" i="10"/>
  <c r="B5" i="10"/>
  <c r="B7" i="10" s="1"/>
  <c r="B4" i="10"/>
  <c r="C10" i="10"/>
  <c r="B10" i="10"/>
  <c r="C9" i="10"/>
  <c r="B9" i="10"/>
  <c r="B2" i="10"/>
  <c r="C3" i="10"/>
  <c r="B3" i="10"/>
  <c r="C2" i="10"/>
  <c r="D3" i="7"/>
  <c r="D4" i="7"/>
  <c r="D5" i="7"/>
  <c r="D6" i="7"/>
  <c r="C3" i="7"/>
  <c r="C4" i="7"/>
  <c r="C5" i="7"/>
  <c r="C6" i="7"/>
  <c r="D2" i="7"/>
  <c r="C2" i="7"/>
  <c r="B6" i="7"/>
  <c r="B5" i="7"/>
  <c r="B4" i="7"/>
  <c r="B3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E6" i="12"/>
  <c r="E5" i="12"/>
  <c r="E2" i="12"/>
  <c r="E13" i="12"/>
  <c r="E7" i="12"/>
  <c r="E3" i="12"/>
  <c r="E4" i="12"/>
  <c r="E9" i="12"/>
  <c r="E10" i="12"/>
  <c r="E11" i="12"/>
  <c r="F11" i="12" s="1"/>
  <c r="E12" i="12"/>
  <c r="F12" i="12" s="1"/>
  <c r="E8" i="12"/>
</calcChain>
</file>

<file path=xl/sharedStrings.xml><?xml version="1.0" encoding="utf-8"?>
<sst xmlns="http://schemas.openxmlformats.org/spreadsheetml/2006/main" count="33106" uniqueCount="8420">
  <si>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</si>
  <si>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</si>
  <si>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</si>
  <si>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</si>
  <si>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</si>
  <si>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</si>
  <si>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</si>
  <si>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</si>
  <si>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</si>
  <si>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</si>
  <si>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</si>
  <si>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</si>
  <si>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</si>
  <si>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</si>
  <si>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</si>
  <si>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</si>
  <si>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</si>
  <si>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</si>
  <si>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</si>
  <si>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</si>
  <si>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</si>
  <si>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</si>
  <si>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</si>
  <si>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</si>
  <si>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</si>
  <si>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</si>
  <si>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</si>
  <si>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</si>
  <si>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</si>
  <si>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</si>
  <si>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</si>
  <si>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</si>
  <si>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</si>
  <si>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</si>
  <si>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</si>
  <si>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</si>
  <si>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</si>
  <si>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</si>
  <si>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</si>
  <si>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</si>
  <si>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</si>
  <si>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</si>
  <si>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</si>
  <si>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</si>
  <si>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</si>
  <si>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</si>
  <si>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</si>
  <si>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</si>
  <si>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</si>
  <si>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</si>
  <si>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</si>
  <si>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</si>
  <si>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</si>
  <si>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</si>
  <si>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</si>
  <si>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</si>
  <si>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</si>
  <si>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</si>
  <si>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</si>
  <si>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</si>
  <si>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</si>
  <si>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</si>
  <si>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</si>
  <si>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</si>
  <si>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</si>
  <si>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</si>
  <si>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</si>
  <si>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</si>
  <si>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</si>
  <si>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</si>
  <si>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</si>
  <si>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</si>
  <si>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</si>
  <si>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</si>
  <si>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</si>
  <si>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</si>
  <si>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</si>
  <si>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</si>
  <si>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</si>
  <si>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</si>
  <si>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</si>
  <si>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</si>
  <si>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</si>
  <si>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</si>
  <si>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</si>
  <si>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</si>
  <si>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</si>
  <si>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</si>
  <si>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</si>
  <si>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</si>
  <si>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</si>
  <si>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</si>
  <si>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</si>
  <si>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</si>
  <si>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</si>
  <si>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</si>
  <si>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</si>
  <si>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</si>
  <si>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</si>
  <si>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</si>
  <si>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</si>
  <si>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</si>
  <si>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</si>
  <si>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</si>
  <si>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</si>
  <si>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</si>
  <si>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</si>
  <si>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</si>
  <si>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</si>
  <si>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</si>
  <si>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</si>
  <si>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</si>
  <si>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</si>
  <si>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</si>
  <si>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</si>
  <si>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</si>
  <si>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</si>
  <si>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</si>
  <si>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</si>
  <si>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</si>
  <si>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</si>
  <si>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</si>
  <si>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</si>
  <si>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</si>
  <si>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</si>
  <si>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</si>
  <si>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</si>
  <si>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</si>
  <si>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</si>
  <si>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</si>
  <si>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</si>
  <si>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</si>
  <si>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</si>
  <si>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</si>
  <si>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</si>
  <si>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</si>
  <si>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</si>
  <si>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</si>
  <si>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</si>
  <si>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</si>
  <si>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</si>
  <si>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</si>
  <si>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</si>
  <si>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</si>
  <si>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</si>
  <si>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</si>
  <si>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</si>
  <si>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</si>
  <si>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</si>
  <si>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</si>
  <si>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</si>
  <si>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</si>
  <si>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</si>
  <si>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</si>
  <si>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</si>
  <si>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</si>
  <si>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</si>
  <si>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</si>
  <si>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</si>
  <si>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</si>
  <si>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</si>
  <si>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</si>
  <si>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</si>
  <si>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</si>
  <si>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</si>
  <si>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</si>
  <si>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</si>
  <si>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</si>
  <si>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</si>
  <si>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</si>
  <si>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</si>
  <si>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</si>
  <si>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</si>
  <si>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</si>
  <si>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</si>
  <si>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</si>
  <si>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</si>
  <si>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</si>
  <si>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</si>
  <si>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</si>
  <si>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</si>
  <si>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</si>
  <si>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</si>
  <si>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</si>
  <si>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</si>
  <si>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</si>
  <si>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</si>
  <si>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</si>
  <si>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</si>
  <si>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</si>
  <si>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</si>
  <si>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</si>
  <si>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</si>
  <si>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</si>
  <si>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</si>
  <si>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</si>
  <si>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</si>
  <si>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</si>
  <si>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</si>
  <si>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</si>
  <si>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</si>
  <si>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</si>
  <si>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</si>
  <si>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</si>
  <si>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</si>
  <si>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</si>
  <si>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</si>
  <si>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</si>
  <si>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</si>
  <si>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</si>
  <si>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</si>
  <si>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</si>
  <si>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</si>
  <si>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</si>
  <si>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</si>
  <si>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</si>
  <si>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</si>
  <si>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</si>
  <si>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</si>
  <si>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</si>
  <si>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</si>
  <si>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</si>
  <si>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</si>
  <si>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</si>
  <si>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</si>
  <si>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</si>
  <si>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</si>
  <si>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</si>
  <si>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</si>
  <si>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</si>
  <si>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</si>
  <si>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</si>
  <si>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</si>
  <si>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</si>
  <si>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</si>
  <si>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</si>
  <si>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</si>
  <si>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</si>
  <si>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</si>
  <si>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</si>
  <si>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</si>
  <si>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</si>
  <si>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</si>
  <si>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</si>
  <si>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</si>
  <si>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</si>
  <si>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</si>
  <si>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</si>
  <si>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</si>
  <si>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</si>
  <si>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</si>
  <si>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</si>
  <si>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</si>
  <si>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</si>
  <si>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</si>
  <si>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</si>
  <si>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</si>
  <si>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</si>
  <si>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</si>
  <si>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</si>
  <si>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</si>
  <si>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</si>
  <si>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</si>
  <si>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</si>
  <si>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</si>
  <si>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</si>
  <si>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</si>
  <si>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</si>
  <si>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</si>
  <si>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</si>
  <si>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</si>
  <si>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</si>
  <si>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</si>
  <si>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</si>
  <si>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</si>
  <si>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</si>
  <si>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</si>
  <si>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</si>
  <si>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</si>
  <si>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</si>
  <si>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</si>
  <si>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</si>
  <si>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</si>
  <si>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</si>
  <si>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</si>
  <si>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</si>
  <si>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</si>
  <si>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</si>
  <si>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</si>
  <si>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</si>
  <si>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</si>
  <si>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</si>
  <si>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</si>
  <si>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</si>
  <si>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</si>
  <si>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</si>
  <si>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</si>
  <si>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</si>
  <si>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</si>
  <si>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</si>
  <si>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</si>
  <si>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</si>
  <si>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</si>
  <si>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</si>
  <si>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</si>
  <si>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</si>
  <si>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</si>
  <si>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</si>
  <si>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</si>
  <si>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</si>
  <si>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</si>
  <si>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</si>
  <si>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</si>
  <si>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</si>
  <si>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</si>
  <si>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</si>
  <si>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</si>
  <si>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</si>
  <si>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</si>
  <si>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</si>
  <si>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</si>
  <si>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</si>
  <si>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</si>
  <si>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</si>
  <si>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</si>
  <si>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</si>
  <si>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</si>
  <si>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</si>
  <si>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</si>
  <si>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</si>
  <si>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</si>
  <si>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</si>
  <si>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</si>
  <si>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</si>
  <si>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</si>
  <si>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</si>
  <si>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</si>
  <si>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</si>
  <si>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</si>
  <si>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</si>
  <si>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</si>
  <si>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</si>
  <si>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</si>
  <si>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</si>
  <si>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</si>
  <si>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</si>
  <si>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</si>
  <si>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</si>
  <si>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</si>
  <si>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</si>
  <si>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</si>
  <si>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</si>
  <si>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</si>
  <si>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</si>
  <si>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</si>
  <si>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</si>
  <si>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</si>
  <si>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</si>
  <si>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</si>
  <si>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</si>
  <si>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</si>
  <si>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</si>
  <si>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</si>
  <si>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</si>
  <si>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</si>
  <si>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</si>
  <si>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</si>
  <si>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</si>
  <si>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</si>
  <si>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</si>
  <si>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</si>
  <si>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</si>
  <si>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</si>
  <si>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</si>
  <si>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</si>
  <si>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</si>
  <si>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</si>
  <si>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</si>
  <si>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</si>
  <si>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</si>
  <si>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</si>
  <si>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</si>
  <si>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</si>
  <si>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</si>
  <si>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</si>
  <si>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</si>
  <si>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</si>
  <si>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</si>
  <si>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</si>
  <si>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</si>
  <si>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</si>
  <si>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</si>
  <si>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</si>
  <si>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</si>
  <si>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</si>
  <si>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</si>
  <si>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</si>
  <si>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</si>
  <si>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</si>
  <si>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</si>
  <si>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</si>
  <si>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</si>
  <si>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</si>
  <si>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</si>
  <si>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</si>
  <si>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</si>
  <si>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</si>
  <si>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</si>
  <si>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</si>
  <si>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</si>
  <si>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</si>
  <si>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</si>
  <si>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</si>
  <si>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</si>
  <si>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</si>
  <si>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</si>
  <si>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</si>
  <si>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</si>
  <si>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</si>
  <si>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</si>
  <si>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</si>
  <si>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</si>
  <si>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</si>
  <si>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</si>
  <si>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</si>
  <si>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</si>
  <si>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</si>
  <si>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</si>
  <si>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</si>
  <si>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</si>
  <si>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</si>
  <si>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</si>
  <si>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</si>
  <si>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</si>
  <si>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</si>
  <si>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</si>
  <si>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</si>
  <si>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</si>
  <si>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</si>
  <si>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</si>
  <si>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</si>
  <si>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</si>
  <si>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</si>
  <si>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</si>
  <si>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</si>
  <si>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</si>
  <si>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</si>
  <si>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</si>
  <si>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</si>
  <si>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</si>
  <si>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</si>
  <si>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</si>
  <si>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</si>
  <si>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</si>
  <si>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</si>
  <si>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</si>
  <si>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</si>
  <si>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</si>
  <si>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</si>
  <si>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</si>
  <si>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</si>
  <si>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</si>
  <si>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</si>
  <si>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</si>
  <si>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</si>
  <si>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</si>
  <si>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</si>
  <si>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</si>
  <si>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</si>
  <si>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</si>
  <si>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</si>
  <si>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</si>
  <si>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</si>
  <si>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</si>
  <si>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</si>
  <si>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</si>
  <si>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</si>
  <si>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</si>
  <si>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</si>
  <si>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</si>
  <si>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</si>
  <si>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</si>
  <si>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</si>
  <si>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</si>
  <si>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</si>
  <si>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</si>
  <si>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</si>
  <si>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</si>
  <si>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</si>
  <si>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</si>
  <si>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</si>
  <si>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</si>
  <si>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</si>
  <si>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</si>
  <si>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</si>
  <si>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</si>
  <si>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</si>
  <si>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</si>
  <si>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</si>
  <si>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</si>
  <si>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</si>
  <si>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</si>
  <si>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</si>
  <si>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</si>
  <si>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</si>
  <si>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</si>
  <si>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</si>
  <si>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</si>
  <si>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</si>
  <si>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</si>
  <si>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</si>
  <si>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</si>
  <si>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</si>
  <si>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</si>
  <si>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</si>
  <si>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</si>
  <si>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</si>
  <si>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</si>
  <si>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</si>
  <si>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</si>
  <si>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</si>
  <si>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</si>
  <si>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</si>
  <si>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</si>
  <si>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</si>
  <si>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</si>
  <si>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</si>
  <si>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</si>
  <si>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</si>
  <si>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</si>
  <si>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</si>
  <si>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</si>
  <si>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</si>
  <si>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</si>
  <si>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</si>
  <si>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</si>
  <si>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</si>
  <si>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</si>
  <si>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</si>
  <si>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</si>
  <si>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</si>
  <si>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</si>
  <si>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</si>
  <si>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</si>
  <si>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</si>
  <si>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</si>
  <si>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</si>
  <si>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</si>
  <si>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</si>
  <si>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</si>
  <si>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</si>
  <si>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</si>
  <si>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</si>
  <si>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</si>
  <si>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</si>
  <si>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</si>
  <si>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</si>
  <si>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</si>
  <si>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</si>
  <si>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</si>
  <si>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</si>
  <si>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</si>
  <si>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</si>
  <si>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</si>
  <si>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</si>
  <si>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</si>
  <si>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</si>
  <si>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</si>
  <si>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</si>
  <si>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</si>
  <si>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</si>
  <si>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</si>
  <si>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</si>
  <si>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</si>
  <si>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</si>
  <si>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</si>
  <si>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</si>
  <si>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</si>
  <si>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</si>
  <si>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</si>
  <si>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</si>
  <si>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</si>
  <si>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</si>
  <si>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</si>
  <si>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</si>
  <si>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</si>
  <si>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</si>
  <si>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</si>
  <si>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</si>
  <si>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</si>
  <si>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</si>
  <si>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</si>
  <si>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</si>
  <si>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</si>
  <si>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</si>
  <si>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</si>
  <si>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</si>
  <si>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</si>
  <si>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</si>
  <si>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</si>
  <si>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</si>
  <si>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</si>
  <si>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</si>
  <si>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</si>
  <si>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</si>
  <si>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</si>
  <si>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</si>
  <si>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</si>
  <si>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</si>
  <si>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</si>
  <si>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</si>
  <si>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</si>
  <si>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</si>
  <si>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</si>
  <si>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</si>
  <si>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</si>
  <si>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</si>
  <si>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</si>
  <si>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</si>
  <si>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</si>
  <si>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</si>
  <si>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</si>
  <si>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</si>
  <si>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</si>
  <si>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</si>
  <si>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</si>
  <si>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</si>
  <si>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</si>
  <si>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</si>
  <si>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</si>
  <si>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</si>
  <si>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</si>
  <si>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</si>
  <si>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</si>
  <si>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</si>
  <si>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</si>
  <si>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</si>
  <si>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</si>
  <si>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</si>
  <si>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</si>
  <si>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</si>
  <si>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</si>
  <si>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</si>
  <si>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</si>
  <si>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</si>
  <si>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</si>
  <si>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</si>
  <si>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</si>
  <si>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</si>
  <si>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</si>
  <si>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</si>
  <si>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</si>
  <si>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</si>
  <si>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</si>
  <si>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</si>
  <si>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</si>
  <si>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</si>
  <si>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</si>
  <si>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</si>
  <si>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</si>
  <si>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</si>
  <si>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</si>
  <si>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</si>
  <si>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</si>
  <si>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</si>
  <si>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</si>
  <si>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</si>
  <si>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</si>
  <si>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</si>
  <si>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</si>
  <si>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</si>
  <si>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</si>
  <si>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</si>
  <si>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</si>
  <si>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</si>
  <si>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</si>
  <si>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</si>
  <si>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</si>
  <si>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</si>
  <si>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</si>
  <si>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</si>
  <si>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</si>
  <si>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</si>
  <si>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</si>
  <si>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</si>
  <si>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</si>
  <si>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</si>
  <si>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</si>
  <si>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</si>
  <si>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</si>
  <si>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</si>
  <si>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</si>
  <si>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</si>
  <si>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</si>
  <si>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</si>
  <si>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</si>
  <si>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</si>
  <si>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</si>
  <si>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</si>
  <si>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</si>
  <si>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</si>
  <si>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</si>
  <si>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</si>
  <si>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</si>
  <si>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</si>
  <si>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</si>
  <si>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</si>
  <si>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</si>
  <si>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</si>
  <si>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</si>
  <si>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</si>
  <si>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</si>
  <si>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</si>
  <si>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</si>
  <si>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</si>
  <si>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</si>
  <si>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</si>
  <si>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</si>
  <si>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</si>
  <si>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</si>
  <si>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</si>
  <si>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</si>
  <si>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</si>
  <si>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</si>
  <si>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</si>
  <si>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</si>
  <si>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</si>
  <si>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</si>
  <si>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</si>
  <si>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</si>
  <si>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</si>
  <si>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</si>
  <si>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</si>
  <si>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</si>
  <si>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</si>
  <si>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</si>
  <si>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</si>
  <si>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</si>
  <si>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</si>
  <si>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</si>
  <si>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</si>
  <si>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</si>
  <si>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</si>
  <si>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</si>
  <si>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</si>
  <si>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</si>
  <si>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</si>
  <si>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</si>
  <si>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</si>
  <si>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</si>
  <si>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</si>
  <si>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</si>
  <si>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</si>
  <si>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</si>
  <si>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</si>
  <si>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</si>
  <si>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</si>
  <si>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</si>
  <si>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</si>
  <si>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</si>
  <si>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</si>
  <si>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</si>
  <si>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</si>
  <si>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</si>
  <si>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</si>
  <si>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</si>
  <si>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</si>
  <si>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</si>
  <si>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</si>
  <si>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</si>
  <si>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</si>
  <si>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</si>
  <si>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</si>
  <si>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</si>
  <si>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</si>
  <si>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</si>
  <si>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</si>
  <si>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</si>
  <si>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</si>
  <si>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</si>
  <si>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</si>
  <si>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</si>
  <si>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</si>
  <si>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</si>
  <si>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</si>
  <si>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</si>
  <si>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</si>
  <si>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</si>
  <si>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</si>
  <si>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</si>
  <si>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</si>
  <si>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</si>
  <si>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</si>
  <si>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</si>
  <si>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</si>
  <si>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</si>
  <si>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</si>
  <si>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</si>
  <si>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</si>
  <si>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</si>
  <si>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</si>
  <si>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</si>
  <si>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</si>
  <si>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</si>
  <si>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</si>
  <si>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</si>
  <si>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</si>
  <si>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</si>
  <si>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</si>
  <si>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</si>
  <si>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</si>
  <si>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</si>
  <si>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</si>
  <si>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</si>
  <si>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</si>
  <si>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</si>
  <si>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</si>
  <si>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</si>
  <si>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</si>
  <si>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</si>
  <si>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</si>
  <si>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</si>
  <si>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</si>
  <si>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</si>
  <si>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</si>
  <si>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</si>
  <si>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</si>
  <si>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</si>
  <si>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</si>
  <si>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</si>
  <si>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</si>
  <si>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</si>
  <si>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</si>
  <si>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</si>
  <si>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</si>
  <si>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</si>
  <si>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</si>
  <si>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</si>
  <si>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</si>
  <si>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</si>
  <si>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</si>
  <si>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</si>
  <si>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</si>
  <si>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</si>
  <si>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</si>
  <si>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</si>
  <si>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</si>
  <si>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</si>
  <si>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</si>
  <si>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</si>
  <si>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</si>
  <si>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</si>
  <si>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</si>
  <si>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</si>
  <si>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</si>
  <si>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</si>
  <si>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</si>
  <si>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</si>
  <si>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</si>
  <si>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</si>
  <si>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</si>
  <si>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</si>
  <si>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</si>
  <si>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</si>
  <si>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</si>
  <si>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</si>
  <si>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</si>
  <si>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</si>
  <si>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</si>
  <si>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</si>
  <si>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</si>
  <si>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</si>
  <si>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</si>
  <si>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</si>
  <si>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</si>
  <si>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</si>
  <si>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</si>
  <si>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</si>
  <si>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</si>
  <si>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</si>
  <si>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</si>
  <si>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</si>
  <si>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</si>
  <si>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</si>
  <si>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</si>
  <si>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</si>
  <si>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</si>
  <si>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</si>
  <si>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</si>
  <si>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</si>
  <si>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</si>
  <si>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</si>
  <si>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</si>
  <si>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</si>
  <si>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</si>
  <si>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</si>
  <si>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</si>
  <si>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</si>
  <si>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</si>
  <si>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</si>
  <si>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</si>
  <si>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</si>
  <si>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</si>
  <si>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</si>
  <si>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</si>
  <si>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</si>
  <si>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</si>
  <si>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</si>
  <si>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</si>
  <si>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</si>
  <si>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</si>
  <si>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</si>
  <si>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</si>
  <si>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</si>
  <si>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</si>
  <si>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</si>
  <si>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</si>
  <si>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</si>
  <si>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</si>
  <si>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</si>
  <si>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</si>
  <si>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</si>
  <si>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</si>
  <si>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</si>
  <si>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</si>
  <si>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</si>
  <si>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</si>
  <si>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</si>
  <si>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</si>
  <si>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</si>
  <si>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</si>
  <si>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</si>
  <si>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</si>
  <si>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</si>
  <si>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</si>
  <si>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</si>
  <si>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</si>
  <si>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</si>
  <si>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</si>
  <si>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</si>
  <si>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</si>
  <si>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</si>
  <si>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</si>
  <si>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</si>
  <si>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</si>
  <si>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</si>
  <si>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</si>
  <si>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</si>
  <si>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</si>
  <si>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</si>
  <si>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</si>
  <si>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</si>
  <si>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</si>
  <si>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</si>
  <si>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</si>
  <si>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</si>
  <si>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</si>
  <si>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</si>
  <si>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</si>
  <si>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</si>
  <si>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</si>
  <si>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</si>
  <si>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</si>
  <si>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</si>
  <si>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</si>
  <si>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</si>
  <si>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</si>
  <si>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</si>
  <si>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</si>
  <si>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</si>
  <si>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</si>
  <si>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</si>
  <si>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</si>
  <si>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</si>
  <si>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</si>
  <si>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</si>
  <si>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</si>
  <si>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</si>
  <si>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</si>
  <si>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</si>
  <si>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</si>
  <si>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</si>
  <si>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</si>
  <si>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</si>
  <si>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</si>
  <si>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</si>
  <si>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</si>
  <si>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</si>
  <si>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</si>
  <si>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</si>
  <si>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</si>
  <si>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</si>
  <si>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</si>
  <si>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</si>
  <si>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</si>
  <si>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</si>
  <si>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</si>
  <si>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</si>
  <si>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</si>
  <si>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</si>
  <si>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</si>
  <si>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</si>
  <si>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</si>
  <si>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</si>
  <si>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</si>
  <si>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</si>
  <si>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</si>
  <si>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</si>
  <si>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</si>
  <si>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</si>
  <si>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</si>
  <si>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</si>
  <si>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</si>
  <si>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</si>
  <si>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</si>
  <si>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</si>
  <si>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</si>
  <si>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</si>
  <si>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</si>
  <si>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</si>
  <si>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</si>
  <si>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</si>
  <si>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</si>
  <si>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</si>
  <si>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</si>
  <si>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</si>
  <si>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</si>
  <si>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</si>
  <si>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</si>
  <si>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</si>
  <si>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</si>
  <si>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</si>
  <si>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</si>
  <si>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</si>
  <si>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</si>
  <si>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</si>
  <si>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</si>
  <si>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</si>
  <si>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</si>
  <si>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</si>
  <si>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</si>
  <si>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</si>
  <si>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</si>
  <si>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</si>
  <si>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</si>
  <si>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</si>
  <si>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</si>
  <si>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</si>
  <si>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</si>
  <si>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</si>
  <si>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</si>
  <si>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</si>
  <si>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</si>
  <si>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</si>
  <si>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</si>
  <si>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</si>
  <si>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</si>
  <si>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</si>
  <si>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</si>
  <si>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</si>
  <si>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</si>
  <si>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</si>
  <si>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</si>
  <si>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</si>
  <si>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</si>
  <si>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</si>
  <si>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</si>
  <si>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</si>
  <si>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</si>
  <si>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</si>
  <si>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</si>
  <si>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</si>
  <si>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</si>
  <si>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</si>
  <si>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</si>
  <si>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</si>
  <si>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</si>
  <si>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</si>
  <si>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</si>
  <si>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</si>
  <si>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</si>
  <si>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</si>
  <si>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</si>
  <si>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</si>
  <si>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</si>
  <si>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</si>
  <si>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</si>
  <si>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</si>
  <si>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</si>
  <si>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</si>
  <si>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</si>
  <si>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</si>
  <si>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</si>
  <si>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</si>
  <si>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</si>
  <si>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</si>
  <si>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</si>
  <si>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</si>
  <si>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</si>
  <si>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</si>
  <si>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</si>
  <si>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</si>
  <si>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</si>
  <si>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</si>
  <si>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</si>
  <si>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</si>
  <si>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</si>
  <si>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</si>
  <si>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</si>
  <si>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</si>
  <si>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</si>
  <si>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</si>
  <si>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</si>
  <si>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</si>
  <si>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</si>
  <si>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</si>
  <si>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</si>
  <si>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</si>
  <si>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</si>
  <si>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</si>
  <si>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</si>
  <si>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</si>
  <si>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</si>
  <si>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</si>
  <si>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</si>
  <si>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</si>
  <si>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</si>
  <si>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</si>
  <si>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</si>
  <si>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</si>
  <si>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</si>
  <si>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</si>
  <si>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</si>
  <si>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</si>
  <si>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</si>
  <si>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</si>
  <si>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</si>
  <si>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</si>
  <si>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</si>
  <si>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</si>
  <si>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</si>
  <si>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</si>
  <si>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</si>
  <si>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</si>
  <si>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</si>
  <si>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</si>
  <si>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</si>
  <si>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</si>
  <si>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</si>
  <si>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</si>
  <si>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</si>
  <si>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</si>
  <si>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</si>
  <si>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</si>
  <si>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</si>
  <si>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</si>
  <si>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</si>
  <si>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</si>
  <si>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</si>
  <si>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</si>
  <si>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</si>
  <si>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</si>
  <si>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</si>
  <si>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</si>
  <si>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</si>
  <si>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</si>
  <si>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</si>
  <si>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</si>
  <si>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</si>
  <si>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</si>
  <si>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</si>
  <si>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</si>
  <si>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</si>
  <si>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</si>
  <si>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</si>
  <si>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</si>
  <si>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</si>
  <si>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</si>
  <si>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</si>
  <si>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</si>
  <si>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</si>
  <si>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</si>
  <si>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</si>
  <si>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</si>
  <si>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</si>
  <si>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</si>
  <si>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</si>
  <si>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</si>
  <si>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</si>
  <si>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</si>
  <si>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</si>
  <si>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</si>
  <si>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</si>
  <si>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</si>
  <si>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</si>
  <si>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</si>
  <si>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</si>
  <si>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</si>
  <si>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</si>
  <si>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</si>
  <si>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</si>
  <si>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</si>
  <si>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</si>
  <si>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</si>
  <si>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</si>
  <si>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</si>
  <si>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</si>
  <si>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</si>
  <si>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</si>
  <si>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</si>
  <si>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</si>
  <si>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</si>
  <si>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</si>
  <si>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</si>
  <si>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</si>
  <si>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</si>
  <si>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</si>
  <si>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</si>
  <si>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</si>
  <si>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</si>
  <si>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</si>
  <si>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</si>
  <si>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</si>
  <si>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</si>
  <si>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</si>
  <si>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</si>
  <si>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</si>
  <si>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</si>
  <si>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</si>
  <si>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</si>
  <si>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</si>
  <si>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</si>
  <si>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</si>
  <si>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</si>
  <si>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</si>
  <si>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</si>
  <si>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</si>
  <si>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</si>
  <si>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</si>
  <si>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</si>
  <si>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</si>
  <si>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</si>
  <si>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</si>
  <si>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</si>
  <si>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</si>
  <si>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</si>
  <si>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</si>
  <si>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</si>
  <si>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</si>
  <si>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</si>
  <si>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</si>
  <si>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</si>
  <si>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</si>
  <si>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</si>
  <si>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</si>
  <si>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</si>
  <si>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</si>
  <si>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</si>
  <si>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</si>
  <si>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</si>
  <si>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</si>
  <si>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</si>
  <si>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</si>
  <si>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</si>
  <si>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</si>
  <si>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</si>
  <si>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</si>
  <si>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</si>
  <si>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</si>
  <si>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</si>
  <si>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</si>
  <si>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</si>
  <si>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</si>
  <si>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</si>
  <si>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</si>
  <si>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</si>
  <si>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</si>
  <si>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</si>
  <si>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</si>
  <si>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</si>
  <si>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</si>
  <si>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</si>
  <si>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</si>
  <si>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</si>
  <si>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</si>
  <si>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</si>
  <si>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</si>
  <si>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</si>
  <si>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</si>
  <si>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</si>
  <si>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</si>
  <si>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</si>
  <si>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</si>
  <si>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</si>
  <si>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</si>
  <si>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</si>
  <si>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</si>
  <si>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</si>
  <si>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</si>
  <si>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</si>
  <si>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</si>
  <si>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</si>
  <si>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</si>
  <si>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</si>
  <si>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</si>
  <si>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</si>
  <si>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</si>
  <si>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</si>
  <si>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</si>
  <si>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</si>
  <si>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</si>
  <si>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</si>
  <si>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</si>
  <si>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</si>
  <si>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</si>
  <si>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</si>
  <si>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</si>
  <si>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</si>
  <si>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</si>
  <si>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</si>
  <si>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</si>
  <si>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</si>
  <si>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</si>
  <si>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</si>
  <si>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</si>
  <si>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</si>
  <si>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</si>
  <si>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</si>
  <si>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</si>
  <si>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</si>
  <si>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</si>
  <si>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</si>
  <si>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</si>
  <si>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</si>
  <si>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</si>
  <si>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</si>
  <si>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</si>
  <si>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</si>
  <si>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</si>
  <si>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</si>
  <si>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</si>
  <si>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</si>
  <si>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</si>
  <si>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</si>
  <si>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</si>
  <si>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</si>
  <si>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</si>
  <si>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</si>
  <si>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</si>
  <si>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</si>
  <si>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</si>
  <si>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</si>
  <si>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</si>
  <si>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</si>
  <si>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</si>
  <si>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</si>
  <si>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</si>
  <si>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</si>
  <si>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</si>
  <si>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</si>
  <si>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</si>
  <si>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</si>
  <si>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</si>
  <si>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</si>
  <si>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</si>
  <si>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</si>
  <si>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</si>
  <si>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</si>
  <si>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</si>
  <si>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</si>
  <si>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</si>
  <si>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</si>
  <si>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</si>
  <si>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</si>
  <si>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</si>
  <si>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</si>
  <si>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</si>
  <si>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</si>
  <si>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</si>
  <si>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</si>
  <si>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</si>
  <si>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</si>
  <si>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</si>
  <si>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</si>
  <si>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</si>
  <si>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</si>
  <si>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</si>
  <si>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</si>
  <si>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</si>
  <si>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</si>
  <si>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</si>
  <si>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</si>
  <si>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</si>
  <si>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</si>
  <si>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</si>
  <si>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</si>
  <si>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</si>
  <si>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</si>
  <si>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</si>
  <si>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</si>
  <si>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</si>
  <si>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</si>
  <si>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</si>
  <si>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</si>
  <si>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</si>
  <si>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</si>
  <si>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</si>
  <si>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</si>
  <si>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</si>
  <si>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</si>
  <si>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</si>
  <si>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</si>
  <si>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</si>
  <si>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</si>
  <si>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</si>
  <si>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</si>
  <si>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</si>
  <si>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</si>
  <si>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</si>
  <si>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</si>
  <si>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</si>
  <si>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</si>
  <si>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</si>
  <si>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</si>
  <si>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</si>
  <si>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</si>
  <si>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</si>
  <si>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</si>
  <si>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</si>
  <si>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</si>
  <si>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</si>
  <si>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</si>
  <si>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</si>
  <si>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</si>
  <si>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</si>
  <si>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</si>
  <si>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</si>
  <si>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</si>
  <si>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</si>
  <si>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</si>
  <si>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</si>
  <si>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</si>
  <si>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</si>
  <si>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</si>
  <si>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</si>
  <si>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</si>
  <si>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</si>
  <si>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</si>
  <si>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</si>
  <si>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</si>
  <si>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</si>
  <si>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</si>
  <si>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</si>
  <si>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</si>
  <si>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</si>
  <si>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</si>
  <si>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</si>
  <si>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</si>
  <si>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</si>
  <si>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</si>
  <si>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</si>
  <si>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</si>
  <si>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</si>
  <si>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</si>
  <si>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</si>
  <si>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</si>
  <si>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</si>
  <si>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</si>
  <si>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</si>
  <si>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</si>
  <si>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</si>
  <si>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</si>
  <si>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</si>
  <si>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</si>
  <si>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</si>
  <si>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</si>
  <si>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</si>
  <si>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</si>
  <si>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</si>
  <si>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</si>
  <si>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</si>
  <si>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</si>
  <si>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</si>
  <si>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</si>
  <si>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</si>
  <si>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</si>
  <si>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</si>
  <si>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</si>
  <si>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</si>
  <si>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</si>
  <si>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</si>
  <si>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</si>
  <si>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</si>
  <si>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</si>
  <si>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</si>
  <si>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</si>
  <si>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</si>
  <si>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</si>
  <si>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</si>
  <si>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</si>
  <si>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</si>
  <si>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</si>
  <si>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</si>
  <si>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</si>
  <si>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</si>
  <si>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</si>
  <si>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</si>
  <si>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</si>
  <si>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</si>
  <si>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</si>
  <si>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</si>
  <si>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</si>
  <si>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</si>
  <si>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</si>
  <si>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</si>
  <si>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</si>
  <si>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</si>
  <si>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</si>
  <si>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</si>
  <si>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</si>
  <si>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</si>
  <si>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</si>
  <si>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</si>
  <si>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</si>
  <si>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</si>
  <si>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</si>
  <si>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</si>
  <si>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</si>
  <si>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</si>
  <si>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</si>
  <si>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</si>
  <si>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</si>
  <si>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</si>
  <si>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</si>
  <si>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</si>
  <si>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</si>
  <si>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</si>
  <si>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</si>
  <si>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</si>
  <si>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</si>
  <si>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</si>
  <si>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</si>
  <si>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</si>
  <si>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</si>
  <si>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</si>
  <si>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</si>
  <si>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</si>
  <si>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</si>
  <si>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</si>
  <si>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</si>
  <si>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</si>
  <si>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</si>
  <si>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</si>
  <si>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</si>
  <si>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</si>
  <si>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</si>
  <si>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</si>
  <si>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</si>
  <si>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</si>
  <si>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</si>
  <si>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</si>
  <si>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</si>
  <si>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</si>
  <si>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</si>
  <si>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</si>
  <si>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</si>
  <si>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</si>
  <si>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</si>
  <si>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</si>
  <si>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</si>
  <si>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</si>
  <si>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</si>
  <si>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</si>
  <si>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</si>
  <si>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</si>
  <si>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</si>
  <si>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</si>
  <si>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</si>
  <si>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</si>
  <si>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</si>
  <si>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</si>
  <si>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</si>
  <si>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</si>
  <si>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</si>
  <si>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</si>
  <si>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</si>
  <si>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</si>
  <si>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</si>
  <si>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</si>
  <si>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</si>
  <si>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</si>
  <si>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</si>
  <si>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</si>
  <si>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</si>
  <si>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</si>
  <si>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</si>
  <si>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</si>
  <si>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</si>
  <si>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</si>
  <si>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</si>
  <si>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</si>
  <si>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</si>
  <si>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</si>
  <si>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</si>
  <si>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</si>
  <si>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</si>
  <si>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</si>
  <si>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</si>
  <si>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</si>
  <si>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</si>
  <si>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</si>
  <si>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</si>
  <si>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</si>
  <si>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</si>
  <si>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</si>
  <si>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</si>
  <si>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</si>
  <si>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</si>
  <si>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</si>
  <si>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</si>
  <si>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</si>
  <si>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</si>
  <si>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</si>
  <si>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</si>
  <si>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</si>
  <si>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</si>
  <si>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</si>
  <si>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</si>
  <si>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</si>
  <si>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</si>
  <si>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</si>
  <si>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</si>
  <si>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</si>
  <si>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</si>
  <si>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</si>
  <si>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</si>
  <si>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</si>
  <si>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</si>
  <si>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</si>
  <si>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</si>
  <si>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</si>
  <si>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</si>
  <si>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</si>
  <si>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</si>
  <si>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</si>
  <si>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</si>
  <si>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</si>
  <si>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</si>
  <si>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</si>
  <si>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</si>
  <si>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</si>
  <si>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</si>
  <si>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</si>
  <si>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</si>
  <si>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</si>
  <si>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</si>
  <si>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</si>
  <si>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</si>
  <si>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</si>
  <si>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</si>
  <si>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</si>
  <si>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</si>
  <si>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</si>
  <si>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</si>
  <si>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</si>
  <si>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</si>
  <si>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</si>
  <si>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</si>
  <si>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</si>
  <si>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</si>
  <si>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</si>
  <si>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</si>
  <si>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</si>
  <si>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</si>
  <si>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</si>
  <si>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</si>
  <si>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</si>
  <si>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</si>
  <si>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</si>
  <si>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</si>
  <si>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</si>
  <si>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</si>
  <si>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</si>
  <si>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</si>
  <si>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</si>
  <si>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</si>
  <si>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</si>
  <si>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</si>
  <si>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</si>
  <si>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</si>
  <si>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</si>
  <si>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</si>
  <si>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</si>
  <si>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</si>
  <si>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</si>
  <si>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</si>
  <si>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</si>
  <si>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</si>
  <si>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</si>
  <si>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</si>
  <si>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</si>
  <si>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</si>
  <si>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</si>
  <si>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</si>
  <si>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</si>
  <si>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</si>
  <si>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</si>
  <si>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</si>
  <si>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</si>
  <si>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</si>
  <si>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</si>
  <si>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</si>
  <si>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</si>
  <si>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</si>
  <si>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</si>
  <si>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</si>
  <si>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</si>
  <si>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</si>
  <si>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</si>
  <si>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</si>
  <si>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</si>
  <si>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</si>
  <si>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</si>
  <si>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</si>
  <si>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</si>
  <si>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</si>
  <si>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</si>
  <si>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</si>
  <si>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</si>
  <si>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</si>
  <si>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</si>
  <si>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</si>
  <si>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</si>
  <si>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</si>
  <si>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</si>
  <si>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</si>
  <si>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</si>
  <si>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</si>
  <si>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</si>
  <si>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</si>
  <si>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</si>
  <si>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</si>
  <si>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</si>
  <si>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</si>
  <si>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</si>
  <si>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</si>
  <si>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</si>
  <si>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</si>
  <si>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</si>
  <si>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</si>
  <si>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</si>
  <si>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</si>
  <si>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</si>
  <si>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</si>
  <si>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</si>
  <si>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</si>
  <si>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</si>
  <si>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</si>
  <si>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</si>
  <si>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</si>
  <si>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</si>
  <si>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</si>
  <si>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</si>
  <si>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</si>
  <si>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</si>
  <si>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</si>
  <si>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</si>
  <si>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</si>
  <si>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</si>
  <si>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</si>
  <si>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</si>
  <si>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</si>
  <si>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</si>
  <si>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</si>
  <si>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</si>
  <si>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</si>
  <si>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</si>
  <si>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</si>
  <si>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</si>
  <si>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</si>
  <si>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</si>
  <si>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</si>
  <si>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</si>
  <si>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</si>
  <si>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</si>
  <si>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</si>
  <si>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</si>
  <si>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</si>
  <si>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</si>
  <si>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</si>
  <si>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</si>
  <si>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</si>
  <si>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</si>
  <si>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</si>
  <si>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</si>
  <si>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</si>
  <si>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</si>
  <si>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</si>
  <si>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</si>
  <si>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</si>
  <si>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</si>
  <si>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</si>
  <si>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</si>
  <si>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</si>
  <si>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</si>
  <si>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</si>
  <si>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</si>
  <si>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</si>
  <si>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</si>
  <si>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</si>
  <si>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</si>
  <si>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</si>
  <si>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</si>
  <si>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</si>
  <si>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</si>
  <si>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</si>
  <si>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</si>
  <si>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</si>
  <si>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</si>
  <si>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</si>
  <si>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</si>
  <si>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</si>
  <si>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</si>
  <si>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</si>
  <si>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</si>
  <si>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</si>
  <si>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</si>
  <si>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</si>
  <si>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</si>
  <si>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</si>
  <si>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</si>
  <si>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</si>
  <si>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</si>
  <si>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</si>
  <si>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</si>
  <si>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</si>
  <si>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</si>
  <si>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</si>
  <si>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</si>
  <si>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</si>
  <si>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</si>
  <si>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</si>
  <si>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</si>
  <si>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</si>
  <si>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</si>
  <si>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</si>
  <si>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</si>
  <si>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</si>
  <si>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</si>
  <si>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</si>
  <si>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</si>
  <si>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</si>
  <si>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</si>
  <si>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</si>
  <si>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</si>
  <si>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</si>
  <si>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</si>
  <si>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</si>
  <si>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</si>
  <si>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</si>
  <si>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</si>
  <si>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</si>
  <si>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</si>
  <si>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</si>
  <si>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</si>
  <si>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</si>
  <si>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</si>
  <si>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</si>
  <si>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</si>
  <si>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</si>
  <si>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</si>
  <si>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</si>
  <si>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</si>
  <si>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</si>
  <si>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</si>
  <si>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</si>
  <si>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</si>
  <si>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</si>
  <si>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</si>
  <si>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</si>
  <si>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</si>
  <si>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</si>
  <si>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</si>
  <si>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</si>
  <si>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</si>
  <si>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</si>
  <si>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</si>
  <si>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</si>
  <si>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</si>
  <si>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</si>
  <si>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</si>
  <si>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</si>
  <si>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</si>
  <si>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</si>
  <si>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</si>
  <si>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</si>
  <si>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</si>
  <si>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</si>
  <si>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</si>
  <si>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</si>
  <si>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</si>
  <si>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</si>
  <si>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</si>
  <si>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</si>
  <si>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</si>
  <si>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</si>
  <si>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</si>
  <si>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</si>
  <si>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</si>
  <si>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</si>
  <si>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</si>
  <si>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</si>
  <si>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</si>
  <si>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</si>
  <si>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</si>
  <si>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</si>
  <si>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</si>
  <si>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</si>
  <si>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</si>
  <si>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</si>
  <si>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</si>
  <si>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</si>
  <si>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</si>
  <si>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</si>
  <si>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</si>
  <si>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</si>
  <si>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</si>
  <si>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</si>
  <si>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</si>
  <si>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</si>
  <si>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</si>
  <si>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</si>
  <si>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</si>
  <si>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</si>
  <si>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</si>
  <si>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</si>
  <si>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</si>
  <si>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</si>
  <si>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</si>
  <si>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</si>
  <si>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</si>
  <si>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</si>
  <si>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</si>
  <si>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</si>
  <si>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</si>
  <si>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</si>
  <si>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</si>
  <si>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</si>
  <si>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</si>
  <si>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</si>
  <si>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</si>
  <si>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</si>
  <si>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</si>
  <si>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</si>
  <si>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</si>
  <si>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</si>
  <si>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</si>
  <si>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</si>
  <si>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</si>
  <si>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</si>
  <si>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</si>
  <si>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</si>
  <si>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</si>
  <si>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</si>
  <si>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</si>
  <si>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</si>
  <si>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</si>
  <si>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</si>
  <si>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</si>
  <si>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</si>
  <si>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</si>
  <si>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</si>
  <si>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</si>
  <si>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</si>
  <si>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</si>
  <si>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</si>
  <si>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</si>
  <si>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</si>
  <si>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</si>
  <si>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</si>
  <si>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</si>
  <si>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</si>
  <si>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</si>
  <si>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</si>
  <si>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</si>
  <si>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</si>
  <si>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</si>
  <si>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</si>
  <si>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</si>
  <si>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</si>
  <si>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</si>
  <si>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</si>
  <si>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</si>
  <si>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</si>
  <si>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</si>
  <si>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</si>
  <si>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</si>
  <si>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</si>
  <si>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</si>
  <si>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</si>
  <si>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</si>
  <si>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</si>
  <si>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</si>
  <si>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</si>
  <si>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</si>
  <si>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</si>
  <si>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</si>
  <si>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</si>
  <si>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</si>
  <si>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</si>
  <si>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</si>
  <si>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</si>
  <si>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</si>
  <si>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</si>
  <si>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</si>
  <si>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</si>
  <si>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</si>
  <si>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</si>
  <si>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</si>
  <si>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</si>
  <si>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</si>
  <si>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</si>
  <si>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</si>
  <si>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</si>
  <si>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</si>
  <si>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</si>
  <si>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</si>
  <si>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</si>
  <si>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</si>
  <si>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</si>
  <si>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</si>
  <si>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</si>
  <si>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</si>
  <si>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</si>
  <si>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</si>
  <si>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</si>
  <si>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</si>
  <si>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</si>
  <si>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</si>
  <si>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</si>
  <si>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</si>
  <si>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</si>
  <si>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</si>
  <si>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</si>
  <si>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</si>
  <si>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</si>
  <si>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</si>
  <si>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</si>
  <si>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</si>
  <si>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</si>
  <si>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</si>
  <si>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</si>
  <si>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</si>
  <si>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</si>
  <si>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</si>
  <si>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</si>
  <si>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</si>
  <si>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</si>
  <si>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</si>
  <si>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</si>
  <si>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</si>
  <si>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</si>
  <si>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</si>
  <si>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</si>
  <si>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</si>
  <si>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</si>
  <si>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</si>
  <si>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</si>
  <si>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</si>
  <si>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</si>
  <si>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</si>
  <si>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</si>
  <si>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</si>
  <si>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</si>
  <si>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</si>
  <si>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</si>
  <si>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</si>
  <si>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</si>
  <si>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</si>
  <si>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</si>
  <si>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</si>
  <si>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</si>
  <si>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</si>
  <si>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</si>
  <si>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</si>
  <si>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</si>
  <si>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</si>
  <si>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</si>
  <si>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</si>
  <si>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</si>
  <si>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</si>
  <si>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</si>
  <si>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</si>
  <si>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</si>
  <si>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</si>
  <si>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</si>
  <si>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</si>
  <si>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</si>
  <si>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</si>
  <si>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</si>
  <si>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</si>
  <si>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</si>
  <si>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</si>
  <si>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</si>
  <si>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</si>
  <si>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</si>
  <si>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</si>
  <si>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</si>
  <si>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</si>
  <si>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</si>
  <si>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</si>
  <si>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</si>
  <si>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</si>
  <si>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</si>
  <si>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</si>
  <si>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</si>
  <si>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</si>
  <si>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</si>
  <si>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</si>
  <si>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</si>
  <si>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</si>
  <si>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</si>
  <si>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</si>
  <si>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</si>
  <si>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</si>
  <si>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</si>
  <si>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</si>
  <si>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</si>
  <si>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</si>
  <si>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</si>
  <si>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</si>
  <si>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</si>
  <si>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</si>
  <si>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</si>
  <si>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</si>
  <si>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</si>
  <si>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</si>
  <si>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</si>
  <si>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</si>
  <si>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</si>
  <si>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</si>
  <si>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</si>
  <si>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</si>
  <si>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</si>
  <si>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</si>
  <si>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</si>
  <si>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</si>
  <si>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</si>
  <si>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</si>
  <si>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</si>
  <si>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</si>
  <si>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</si>
  <si>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</si>
  <si>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</si>
  <si>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</si>
  <si>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</si>
  <si>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</si>
  <si>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</si>
  <si>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</si>
  <si>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</si>
  <si>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</si>
  <si>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</si>
  <si>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</si>
  <si>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</si>
  <si>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</si>
  <si>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</si>
  <si>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</si>
  <si>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</si>
  <si>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</si>
  <si>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</si>
  <si>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</si>
  <si>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</si>
  <si>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</si>
  <si>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</si>
  <si>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</si>
  <si>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</si>
  <si>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</si>
  <si>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</si>
  <si>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</si>
  <si>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</si>
  <si>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</si>
  <si>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</si>
  <si>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</si>
  <si>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</si>
  <si>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</si>
  <si>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</si>
  <si>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</si>
  <si>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</si>
  <si>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</si>
  <si>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</si>
  <si>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</si>
  <si>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</si>
  <si>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</si>
  <si>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</si>
  <si>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</si>
  <si>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</si>
  <si>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</si>
  <si>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</si>
  <si>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</si>
  <si>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</si>
  <si>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</si>
  <si>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</si>
  <si>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</si>
  <si>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</si>
  <si>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</si>
  <si>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</si>
  <si>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</si>
  <si>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</si>
  <si>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</si>
  <si>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</si>
  <si>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</si>
  <si>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</si>
  <si>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</si>
  <si>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</si>
  <si>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</si>
  <si>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</si>
  <si>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</si>
  <si>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</si>
  <si>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</si>
  <si>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</si>
  <si>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</si>
  <si>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</si>
  <si>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</si>
  <si>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</si>
  <si>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</si>
  <si>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</si>
  <si>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</si>
  <si>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</si>
  <si>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</si>
  <si>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</si>
  <si>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</si>
  <si>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</si>
  <si>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</si>
  <si>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</si>
  <si>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</si>
  <si>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</si>
  <si>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</si>
  <si>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</si>
  <si>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</si>
  <si>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</si>
  <si>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</si>
  <si>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</si>
  <si>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</si>
  <si>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</si>
  <si>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</si>
  <si>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</si>
  <si>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</si>
  <si>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</si>
  <si>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</si>
  <si>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</si>
  <si>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</si>
  <si>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</si>
  <si>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</si>
  <si>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</si>
  <si>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</si>
  <si>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</si>
  <si>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</si>
  <si>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</si>
  <si>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</si>
  <si>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</si>
  <si>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</si>
  <si>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</si>
  <si>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</si>
  <si>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</si>
  <si>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</si>
  <si>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</si>
  <si>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</si>
  <si>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</si>
  <si>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</si>
  <si>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</si>
  <si>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</si>
  <si>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</si>
  <si>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</si>
  <si>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</si>
  <si>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</si>
  <si>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</si>
  <si>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</si>
  <si>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</si>
  <si>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</si>
  <si>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</si>
  <si>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</si>
  <si>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</si>
  <si>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</si>
  <si>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</si>
  <si>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</si>
  <si>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</si>
  <si>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</si>
  <si>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</si>
  <si>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</si>
  <si>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</si>
  <si>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</si>
  <si>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</si>
  <si>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</si>
  <si>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</si>
  <si>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</si>
  <si>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</si>
  <si>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</si>
  <si>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</si>
  <si>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</si>
  <si>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</si>
  <si>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</si>
  <si>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</si>
  <si>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</si>
  <si>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</si>
  <si>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</si>
  <si>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</si>
  <si>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</si>
  <si>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</si>
  <si>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</si>
  <si>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</si>
  <si>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</si>
  <si>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</si>
  <si>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</si>
  <si>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</si>
  <si>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</si>
  <si>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</si>
  <si>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</si>
  <si>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</si>
  <si>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</si>
  <si>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</si>
  <si>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</si>
  <si>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</si>
  <si>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</si>
  <si>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</si>
  <si>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</si>
  <si>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</si>
  <si>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</si>
  <si>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</si>
  <si>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</si>
  <si>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</si>
  <si>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</si>
  <si>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</si>
  <si>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</si>
  <si>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</si>
  <si>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</si>
  <si>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</si>
  <si>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</si>
  <si>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</si>
  <si>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</si>
  <si>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</si>
  <si>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</si>
  <si>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</si>
  <si>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</si>
  <si>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</si>
  <si>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</si>
  <si>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</si>
  <si>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</si>
  <si>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</si>
  <si>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</si>
  <si>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</si>
  <si>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</si>
  <si>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</si>
  <si>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</si>
  <si>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</si>
  <si>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</si>
  <si>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</si>
  <si>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</si>
  <si>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</si>
  <si>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</si>
  <si>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</si>
  <si>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</si>
  <si>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</si>
  <si>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</si>
  <si>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</si>
  <si>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</si>
  <si>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</si>
  <si>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</si>
  <si>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</si>
  <si>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</si>
  <si>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</si>
  <si>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</si>
  <si>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</si>
  <si>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</si>
  <si>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</si>
  <si>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</si>
  <si>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</si>
  <si>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</si>
  <si>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</si>
  <si>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</si>
  <si>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</si>
  <si>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</si>
  <si>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</si>
  <si>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</si>
  <si>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</si>
  <si>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</si>
  <si>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</si>
  <si>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</si>
  <si>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</si>
  <si>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</si>
  <si>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</si>
  <si>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</si>
  <si>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</si>
  <si>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</si>
  <si>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</si>
  <si>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</si>
  <si>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</si>
  <si>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</si>
  <si>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</si>
  <si>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</si>
  <si>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</si>
  <si>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</si>
  <si>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</si>
  <si>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</si>
  <si>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</si>
  <si>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</si>
  <si>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</si>
  <si>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</si>
  <si>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</si>
  <si>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</si>
  <si>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</si>
  <si>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</si>
  <si>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</si>
  <si>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</si>
  <si>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</si>
  <si>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</si>
  <si>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</si>
  <si>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</si>
  <si>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</si>
  <si>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</si>
  <si>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</si>
  <si>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</si>
  <si>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</si>
  <si>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</si>
  <si>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</si>
  <si>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</si>
  <si>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</si>
  <si>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</si>
  <si>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</si>
  <si>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</si>
  <si>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</si>
  <si>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</si>
  <si>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</si>
  <si>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</si>
  <si>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</si>
  <si>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</si>
  <si>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</si>
  <si>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</si>
  <si>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</si>
  <si>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</si>
  <si>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</si>
  <si>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</si>
  <si>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</si>
  <si>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</si>
  <si>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</si>
  <si>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</si>
  <si>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</si>
  <si>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</si>
  <si>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</si>
  <si>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</si>
  <si>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</si>
  <si>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</si>
  <si>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</si>
  <si>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</si>
  <si>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</si>
  <si>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</si>
  <si>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</si>
  <si>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</si>
  <si>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</si>
  <si>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</si>
  <si>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</si>
  <si>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</si>
  <si>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</si>
  <si>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</si>
  <si>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</si>
  <si>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</si>
  <si>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</si>
  <si>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</si>
  <si>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</si>
  <si>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</si>
  <si>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</si>
  <si>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</si>
  <si>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</si>
  <si>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</si>
  <si>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</si>
  <si>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</si>
  <si>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</si>
  <si>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</si>
  <si>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</si>
  <si>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</si>
  <si>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</si>
  <si>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</si>
  <si>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</si>
  <si>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</si>
  <si>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</si>
  <si>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</si>
  <si>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</si>
  <si>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</si>
  <si>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</si>
  <si>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</si>
  <si>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</si>
  <si>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</si>
  <si>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</si>
  <si>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</si>
  <si>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</si>
  <si>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</si>
  <si>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</si>
  <si>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</si>
  <si>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</si>
  <si>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</si>
  <si>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</si>
  <si>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</si>
  <si>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</si>
  <si>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</si>
  <si>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</si>
  <si>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</si>
  <si>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</si>
  <si>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</si>
  <si>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</si>
  <si>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</si>
  <si>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</si>
  <si>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</si>
  <si>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</si>
  <si>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</si>
  <si>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</si>
  <si>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</si>
  <si>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</si>
  <si>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</si>
  <si>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</si>
  <si>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</si>
  <si>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</si>
  <si>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</si>
  <si>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</si>
  <si>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</si>
  <si>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</si>
  <si>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</si>
  <si>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</si>
  <si>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</si>
  <si>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</si>
  <si>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</si>
  <si>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</si>
  <si>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</si>
  <si>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</si>
  <si>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</si>
  <si>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</si>
  <si>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</si>
  <si>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</si>
  <si>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</si>
  <si>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</si>
  <si>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</si>
  <si>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</si>
  <si>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</si>
  <si>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</si>
  <si>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</si>
  <si>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</si>
  <si>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</si>
  <si>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</si>
  <si>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</si>
  <si>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</si>
  <si>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</si>
  <si>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</si>
  <si>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</si>
  <si>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</si>
  <si>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</si>
  <si>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</si>
  <si>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</si>
  <si>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</si>
  <si>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</si>
  <si>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</si>
  <si>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</si>
  <si>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</si>
  <si>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</si>
  <si>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</si>
  <si>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</si>
  <si>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</si>
  <si>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</si>
  <si>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</si>
  <si>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</si>
  <si>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</si>
  <si>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</si>
  <si>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</si>
  <si>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</si>
  <si>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</si>
  <si>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</si>
  <si>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</si>
  <si>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</si>
  <si>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</si>
  <si>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</si>
  <si>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</si>
  <si>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</si>
  <si>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</si>
  <si>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</si>
  <si>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</si>
  <si>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</si>
  <si>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</si>
  <si>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</si>
  <si>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</si>
  <si>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</si>
  <si>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</si>
  <si>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</si>
  <si>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</si>
  <si>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</si>
  <si>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</si>
  <si>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</si>
  <si>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</si>
  <si>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</si>
  <si>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</si>
  <si>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</si>
  <si>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</si>
  <si>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</si>
  <si>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</si>
  <si>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</si>
  <si>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</si>
  <si>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</si>
  <si>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</si>
  <si>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</si>
  <si>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</si>
  <si>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</si>
  <si>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</si>
  <si>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</si>
  <si>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</si>
  <si>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</si>
  <si>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</si>
  <si>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</si>
  <si>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</si>
  <si>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</si>
  <si>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</si>
  <si>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</si>
  <si>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</si>
  <si>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</si>
  <si>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</si>
  <si>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</si>
  <si>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</si>
  <si>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</si>
  <si>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</si>
  <si>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</si>
  <si>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</si>
  <si>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</si>
  <si>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</si>
  <si>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</si>
  <si>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</si>
  <si>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</si>
  <si>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</si>
  <si>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</si>
  <si>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</si>
  <si>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</si>
  <si>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</si>
  <si>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</si>
  <si>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</si>
  <si>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</si>
  <si>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</si>
  <si>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</si>
  <si>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</si>
  <si>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</si>
  <si>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</si>
  <si>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</si>
  <si>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</si>
  <si>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</si>
  <si>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</si>
  <si>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</si>
  <si>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</si>
  <si>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</si>
  <si>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</si>
  <si>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</si>
  <si>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</si>
  <si>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</si>
  <si>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</si>
  <si>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</si>
  <si>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</si>
  <si>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</si>
  <si>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</si>
  <si>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</si>
  <si>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</si>
  <si>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</si>
  <si>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</si>
  <si>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</si>
  <si>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</si>
  <si>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</si>
  <si>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</si>
  <si>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</si>
  <si>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</si>
  <si>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</si>
  <si>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</si>
  <si>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</si>
  <si>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</si>
  <si>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</si>
  <si>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</si>
  <si>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</si>
  <si>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</si>
  <si>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</si>
  <si>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</si>
  <si>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</si>
  <si>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</si>
  <si>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</si>
  <si>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</si>
  <si>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</si>
  <si>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</si>
  <si>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</si>
  <si>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</si>
  <si>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</si>
  <si>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</si>
  <si>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</si>
  <si>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</si>
  <si>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</si>
  <si>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</si>
  <si>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</si>
  <si>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</si>
  <si>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</si>
  <si>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</si>
  <si>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</si>
  <si>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</si>
  <si>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</si>
  <si>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</si>
  <si>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</si>
  <si>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</si>
  <si>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</si>
  <si>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</si>
  <si>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</si>
  <si>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</si>
  <si>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</si>
  <si>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</si>
  <si>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</si>
  <si>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</si>
  <si>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</si>
  <si>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</si>
  <si>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</si>
  <si>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</si>
  <si>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</si>
  <si>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</si>
  <si>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</si>
  <si>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</si>
  <si>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</si>
  <si>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</si>
  <si>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</si>
  <si>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</si>
  <si>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</si>
  <si>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</si>
  <si>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</si>
  <si>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</si>
  <si>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</si>
  <si>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</si>
  <si>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</si>
  <si>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</si>
  <si>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</si>
  <si>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</si>
  <si>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</si>
  <si>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</si>
  <si>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</si>
  <si>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</si>
  <si>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</si>
  <si>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</si>
  <si>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</si>
  <si>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</si>
  <si>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</si>
  <si>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</si>
  <si>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</si>
  <si>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</si>
  <si>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</si>
  <si>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</si>
  <si>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</si>
  <si>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</si>
  <si>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</si>
  <si>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</si>
  <si>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</si>
  <si>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</si>
  <si>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</si>
  <si>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</si>
  <si>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</si>
  <si>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</si>
  <si>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</si>
  <si>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</si>
  <si>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</si>
  <si>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</si>
  <si>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</si>
  <si>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</si>
  <si>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</si>
  <si>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</si>
  <si>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</si>
  <si>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</si>
  <si>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</si>
  <si>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</si>
  <si>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</si>
  <si>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</si>
  <si>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</si>
  <si>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</si>
  <si>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</si>
  <si>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</si>
  <si>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</si>
  <si>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</si>
  <si>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</si>
  <si>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</si>
  <si>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</si>
  <si>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</si>
  <si>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</si>
  <si>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</si>
  <si>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</si>
  <si>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</si>
  <si>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</si>
  <si>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</si>
  <si>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</si>
  <si>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</si>
  <si>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</si>
  <si>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</si>
  <si>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</si>
  <si>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</si>
  <si>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</si>
  <si>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</si>
  <si>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</si>
  <si>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</si>
  <si>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</si>
  <si>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</si>
  <si>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</si>
  <si>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</si>
  <si>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</si>
  <si>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</si>
  <si>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</si>
  <si>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</si>
  <si>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</si>
  <si>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</si>
  <si>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</si>
  <si>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</si>
  <si>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</si>
  <si>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</si>
  <si>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</si>
  <si>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</si>
  <si>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</si>
  <si>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</si>
  <si>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</si>
  <si>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</si>
  <si>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</si>
  <si>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</si>
  <si>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</si>
  <si>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</si>
  <si>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</si>
  <si>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</si>
  <si>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</si>
  <si>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</si>
  <si>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</si>
  <si>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</si>
  <si>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</si>
  <si>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</si>
  <si>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</si>
  <si>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</si>
  <si>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</si>
  <si>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</si>
  <si>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</si>
  <si>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</si>
  <si>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</si>
  <si>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</si>
  <si>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</si>
  <si>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</si>
  <si>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</si>
  <si>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</si>
  <si>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</si>
  <si>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</si>
  <si>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</si>
  <si>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</si>
  <si>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</si>
  <si>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</si>
  <si>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</si>
  <si>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</si>
  <si>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</si>
  <si>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</si>
  <si>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</si>
  <si>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</si>
  <si>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</si>
  <si>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</si>
  <si>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</si>
  <si>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</si>
  <si>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</si>
  <si>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</si>
  <si>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</si>
  <si>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</si>
  <si>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</si>
  <si>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</si>
  <si>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</si>
  <si>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</si>
  <si>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</si>
  <si>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</si>
  <si>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</si>
  <si>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</si>
  <si>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</si>
  <si>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</si>
  <si>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</si>
  <si>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</si>
  <si>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</si>
  <si>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</si>
  <si>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</si>
  <si>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</si>
  <si>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</si>
  <si>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</si>
  <si>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</si>
  <si>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</si>
  <si>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</si>
  <si>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</si>
  <si>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</si>
  <si>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</si>
  <si>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</si>
  <si>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</si>
  <si>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</si>
  <si>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</si>
  <si>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</si>
  <si>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</si>
  <si>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</si>
  <si>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</si>
  <si>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</si>
  <si>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</si>
  <si>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</si>
  <si>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</si>
  <si>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</si>
  <si>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</si>
  <si>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</si>
  <si>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</si>
  <si>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</si>
  <si>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</si>
  <si>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</si>
  <si>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</si>
  <si>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</si>
  <si>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</si>
  <si>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</si>
  <si>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</si>
  <si>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</si>
  <si>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</si>
  <si>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</si>
  <si>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</si>
  <si>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</si>
  <si>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</si>
  <si>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</si>
  <si>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</si>
  <si>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</si>
  <si>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</si>
  <si>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</si>
  <si>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</si>
  <si>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</si>
  <si>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</si>
  <si>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</si>
  <si>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</si>
  <si>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</si>
  <si>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</si>
  <si>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</si>
  <si>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</si>
  <si>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</si>
  <si>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</si>
  <si>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</si>
  <si>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</si>
  <si>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</si>
  <si>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</si>
  <si>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</si>
  <si>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</si>
  <si>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</si>
  <si>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</si>
  <si>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</si>
  <si>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</si>
  <si>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</si>
  <si>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</si>
  <si>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</si>
  <si>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</si>
  <si>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</si>
  <si>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</si>
  <si>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</si>
  <si>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</si>
  <si>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</si>
  <si>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</si>
  <si>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</si>
  <si>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</si>
  <si>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</si>
  <si>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</si>
  <si>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</si>
  <si>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</si>
  <si>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</si>
  <si>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</si>
  <si>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</si>
  <si>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</si>
  <si>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</si>
  <si>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</si>
  <si>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</si>
  <si>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</si>
  <si>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</si>
  <si>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</si>
  <si>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</si>
  <si>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</si>
  <si>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</si>
  <si>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</si>
  <si>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</si>
  <si>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</si>
  <si>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</si>
  <si>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</si>
  <si>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</si>
  <si>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</si>
  <si>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</si>
  <si>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</si>
  <si>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</si>
  <si>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</si>
  <si>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</si>
  <si>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</si>
  <si>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</si>
  <si>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</si>
  <si>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</si>
  <si>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</si>
  <si>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</si>
  <si>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</si>
  <si>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</si>
  <si>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</si>
  <si>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</si>
  <si>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</si>
  <si>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</si>
  <si>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</si>
  <si>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</si>
  <si>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</si>
  <si>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</si>
  <si>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</si>
  <si>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</si>
  <si>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</si>
  <si>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</si>
  <si>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</si>
  <si>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</si>
  <si>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</si>
  <si>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</si>
  <si>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</si>
  <si>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</si>
  <si>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</si>
  <si>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</si>
  <si>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</si>
  <si>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</si>
  <si>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</si>
  <si>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</si>
  <si>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</si>
  <si>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</si>
  <si>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</si>
  <si>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</si>
  <si>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</si>
  <si>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</si>
  <si>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</si>
  <si>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</si>
  <si>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</si>
  <si>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</si>
  <si>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</si>
  <si>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</si>
  <si>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</si>
  <si>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</si>
  <si>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</si>
  <si>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</si>
  <si>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</si>
  <si>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</si>
  <si>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</si>
  <si>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</si>
  <si>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</si>
  <si>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</si>
  <si>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</si>
  <si>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</si>
  <si>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</si>
  <si>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</si>
  <si>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</si>
  <si>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</si>
  <si>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</si>
  <si>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</si>
  <si>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</si>
  <si>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</si>
  <si>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</si>
  <si>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</si>
  <si>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</si>
  <si>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</si>
  <si>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</si>
  <si>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</si>
  <si>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</si>
  <si>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</si>
  <si>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</si>
  <si>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</si>
  <si>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</si>
  <si>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</si>
  <si>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</si>
  <si>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</si>
  <si>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</si>
  <si>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</si>
  <si>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</si>
  <si>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</si>
  <si>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</si>
  <si>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</si>
  <si>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</si>
  <si>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</si>
  <si>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</si>
  <si>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</si>
  <si>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</si>
  <si>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</si>
  <si>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</si>
  <si>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</si>
  <si>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</si>
  <si>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</si>
  <si>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</si>
  <si>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</si>
  <si>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</si>
  <si>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</si>
  <si>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</si>
  <si>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</si>
  <si>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</si>
  <si>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</si>
  <si>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</si>
  <si>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</si>
  <si>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</si>
  <si>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</si>
  <si>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</si>
  <si>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</si>
  <si>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</si>
  <si>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</si>
  <si>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</si>
  <si>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</si>
  <si>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</si>
  <si>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</si>
  <si>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</si>
  <si>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</si>
  <si>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</si>
  <si>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</si>
  <si>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</si>
  <si>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</si>
  <si>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</si>
  <si>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</si>
  <si>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</si>
  <si>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</si>
  <si>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</si>
  <si>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</si>
  <si>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</si>
  <si>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</si>
  <si>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</si>
  <si>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</si>
  <si>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</si>
  <si>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</si>
  <si>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</si>
  <si>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</si>
  <si>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</si>
  <si>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</si>
  <si>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</si>
  <si>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</si>
  <si>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</si>
  <si>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</si>
  <si>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</si>
  <si>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</si>
  <si>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</si>
  <si>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</si>
  <si>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</si>
  <si>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</si>
  <si>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</si>
  <si>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</si>
  <si>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</si>
  <si>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</si>
  <si>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</si>
  <si>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</si>
  <si>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</si>
  <si>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</si>
  <si>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</si>
  <si>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</si>
  <si>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</si>
  <si>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</si>
  <si>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</si>
  <si>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</si>
  <si>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</si>
  <si>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</si>
  <si>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</si>
  <si>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</si>
  <si>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</si>
  <si>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</si>
  <si>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</si>
  <si>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</si>
  <si>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</si>
  <si>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</si>
  <si>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</si>
  <si>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</si>
  <si>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</si>
  <si>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</si>
  <si>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</si>
  <si>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</si>
  <si>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</si>
  <si>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</si>
  <si>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</si>
  <si>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</si>
  <si>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</si>
  <si>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</si>
  <si>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</si>
  <si>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</si>
  <si>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</si>
  <si>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</si>
  <si>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</si>
  <si>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</si>
  <si>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</si>
  <si>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</si>
  <si>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</si>
  <si>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</si>
  <si>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</si>
  <si>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</si>
  <si>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</si>
  <si>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</si>
  <si>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</si>
  <si>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</si>
  <si>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</si>
  <si>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</si>
  <si>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</si>
  <si>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</si>
  <si>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</si>
  <si>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</si>
  <si>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</si>
  <si>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</si>
  <si>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</si>
  <si>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</si>
  <si>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</si>
  <si>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</si>
  <si>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</si>
  <si>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</si>
  <si>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</si>
  <si>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</si>
  <si>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</si>
  <si>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</si>
  <si>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</si>
  <si>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</si>
  <si>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</si>
  <si>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</si>
  <si>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</si>
  <si>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</si>
  <si>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</si>
  <si>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</si>
  <si>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</si>
  <si>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</si>
  <si>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</si>
  <si>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</si>
  <si>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</si>
  <si>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</si>
  <si>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</si>
  <si>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</si>
  <si>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</si>
  <si>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</si>
  <si>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</si>
  <si>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</si>
  <si>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</si>
  <si>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</si>
  <si>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</si>
  <si>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</si>
  <si>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</si>
  <si>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</si>
  <si>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</si>
  <si>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</si>
  <si>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</si>
  <si>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</si>
  <si>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</si>
  <si>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</si>
  <si>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</si>
  <si>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</si>
  <si>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</si>
  <si>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</si>
  <si>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</si>
  <si>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</si>
  <si>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</si>
  <si>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</si>
  <si>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</si>
  <si>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</si>
  <si>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</si>
  <si>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</si>
  <si>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</si>
  <si>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</si>
  <si>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</si>
  <si>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</si>
  <si>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</si>
  <si>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</si>
  <si>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</si>
  <si>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</si>
  <si>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</si>
  <si>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</si>
  <si>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</si>
  <si>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</si>
  <si>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</si>
  <si>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</si>
  <si>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</si>
  <si>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</si>
  <si>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</si>
  <si>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</si>
  <si>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</si>
  <si>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</si>
  <si>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</si>
  <si>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</si>
  <si>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</si>
  <si>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</si>
  <si>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</si>
  <si>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</si>
  <si>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</si>
  <si>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</si>
  <si>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</si>
  <si>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</si>
  <si>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</si>
  <si>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</si>
  <si>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</si>
  <si>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</si>
  <si>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</si>
  <si>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</si>
  <si>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</si>
  <si>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</si>
  <si>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</si>
  <si>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</si>
  <si>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</si>
  <si>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</si>
  <si>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</si>
  <si>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</si>
  <si>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</si>
  <si>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</si>
  <si>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</si>
  <si>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</si>
  <si>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</si>
  <si>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</si>
  <si>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</si>
  <si>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</si>
  <si>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</si>
  <si>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</si>
  <si>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</si>
  <si>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</si>
  <si>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</si>
  <si>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</si>
  <si>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</si>
  <si>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</si>
  <si>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</si>
  <si>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</si>
  <si>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</si>
  <si>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</si>
  <si>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</si>
  <si>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</si>
  <si>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</si>
  <si>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</si>
  <si>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</si>
  <si>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</si>
  <si>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</si>
  <si>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</si>
  <si>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</si>
  <si>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</si>
  <si>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</si>
  <si>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</si>
  <si>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</si>
  <si>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</si>
  <si>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</si>
  <si>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</si>
  <si>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</si>
  <si>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</si>
  <si>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</si>
  <si>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</si>
  <si>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</si>
  <si>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</si>
  <si>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</si>
  <si>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</si>
  <si>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</si>
  <si>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</si>
  <si>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</si>
  <si>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</si>
  <si>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</si>
  <si>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</si>
  <si>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</si>
  <si>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</si>
  <si>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</si>
  <si>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</si>
  <si>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</si>
  <si>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</si>
  <si>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</si>
  <si>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</si>
  <si>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</si>
  <si>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</si>
  <si>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</si>
  <si>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</si>
  <si>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</si>
  <si>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</si>
  <si>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</si>
  <si>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</si>
  <si>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</si>
  <si>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</si>
  <si>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</si>
  <si>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</si>
  <si>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</si>
  <si>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</si>
  <si>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</si>
  <si>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</si>
  <si>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</si>
  <si>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</si>
  <si>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</si>
  <si>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</si>
  <si>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</si>
  <si>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</si>
  <si>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</si>
  <si>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</si>
  <si>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</si>
  <si>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</si>
  <si>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</si>
  <si>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</si>
  <si>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</si>
  <si>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</si>
  <si>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</si>
  <si>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</si>
  <si>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</si>
  <si>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</si>
  <si>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</si>
  <si>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</si>
  <si>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</si>
  <si>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</si>
  <si>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</si>
  <si>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</si>
  <si>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</si>
  <si>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</si>
  <si>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</si>
  <si>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</si>
  <si>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</si>
  <si>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</si>
  <si>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</si>
  <si>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</si>
  <si>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</si>
  <si>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</si>
  <si>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</si>
  <si>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</si>
  <si>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</si>
  <si>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</si>
  <si>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</si>
  <si>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</si>
  <si>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</si>
  <si>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</si>
  <si>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</si>
  <si>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</si>
  <si>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</si>
  <si>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</si>
  <si>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</si>
  <si>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</si>
  <si>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</si>
  <si>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</si>
  <si>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</si>
  <si>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</si>
  <si>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</si>
  <si>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</si>
  <si>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</si>
  <si>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</si>
  <si>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</si>
  <si>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</si>
  <si>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</si>
  <si>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</si>
  <si>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</si>
  <si>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</si>
  <si>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</si>
  <si>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</si>
  <si>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</si>
  <si>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</si>
  <si>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</si>
  <si>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</si>
  <si>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</si>
  <si>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</si>
  <si>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</si>
  <si>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</si>
  <si>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</si>
  <si>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</si>
  <si>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</si>
  <si>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</si>
  <si>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</si>
  <si>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</si>
  <si>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</si>
  <si>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</si>
  <si>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</si>
  <si>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</si>
  <si>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</si>
  <si>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</si>
  <si>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</si>
  <si>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</si>
  <si>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</si>
  <si>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</si>
  <si>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</si>
  <si>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</si>
  <si>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</si>
  <si>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</si>
  <si>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</si>
  <si>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</si>
  <si>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</si>
  <si>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</si>
  <si>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</si>
  <si>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</si>
  <si>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</si>
  <si>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</si>
  <si>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</si>
  <si>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</si>
  <si>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</si>
  <si>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</si>
  <si>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</si>
  <si>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</si>
  <si>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</si>
  <si>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</si>
  <si>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</si>
  <si>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</si>
  <si>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</si>
  <si>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</si>
  <si>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</si>
  <si>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</si>
  <si>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</si>
  <si>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</si>
  <si>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</si>
  <si>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</si>
  <si>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</si>
  <si>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</si>
  <si>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</si>
  <si>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</si>
  <si>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</si>
  <si>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</si>
  <si>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</si>
  <si>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</si>
  <si>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</si>
  <si>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</si>
  <si>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</si>
  <si>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</si>
  <si>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</si>
  <si>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</si>
  <si>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</si>
  <si>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</si>
  <si>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</si>
  <si>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</si>
  <si>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</si>
  <si>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</si>
  <si>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</si>
  <si>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</si>
  <si>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</si>
  <si>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</si>
  <si>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</si>
  <si>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</si>
  <si>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</si>
  <si>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</si>
  <si>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</si>
  <si>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</si>
  <si>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</si>
  <si>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</si>
  <si>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</si>
  <si>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</si>
  <si>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</si>
  <si>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</si>
  <si>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</si>
  <si>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</si>
  <si>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</si>
  <si>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</si>
  <si>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</si>
  <si>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</si>
  <si>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</si>
  <si>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</si>
  <si>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</si>
  <si>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</si>
  <si>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</si>
  <si>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</si>
  <si>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</si>
  <si>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</si>
  <si>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</si>
  <si>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</si>
  <si>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</si>
  <si>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</si>
  <si>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</si>
  <si>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</si>
  <si>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</si>
  <si>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</si>
  <si>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</si>
  <si>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</si>
  <si>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</si>
  <si>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</si>
  <si>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</si>
  <si>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</si>
  <si>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</si>
  <si>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</si>
  <si>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</si>
  <si>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</si>
  <si>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</si>
  <si>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</si>
  <si>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</si>
  <si>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</si>
  <si>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</si>
  <si>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</si>
  <si>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</si>
  <si>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</si>
  <si>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</si>
  <si>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</si>
  <si>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</si>
  <si>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</si>
  <si>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</si>
  <si>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</si>
  <si>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</si>
  <si>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</si>
  <si>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</si>
  <si>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</si>
  <si>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</si>
  <si>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</si>
  <si>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</si>
  <si>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</si>
  <si>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</si>
  <si>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</si>
  <si>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</si>
  <si>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</si>
  <si>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</si>
  <si>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</si>
  <si>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</si>
  <si>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</si>
  <si>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</si>
  <si>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</si>
  <si>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</si>
  <si>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</si>
  <si>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</si>
  <si>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</si>
  <si>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</si>
  <si>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</si>
  <si>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</si>
  <si>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</si>
  <si>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</si>
  <si>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</si>
  <si>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</si>
  <si>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</si>
  <si>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</si>
  <si>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</si>
  <si>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</si>
  <si>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</si>
  <si>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</si>
  <si>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</si>
  <si>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</si>
  <si>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</si>
  <si>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</si>
  <si>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</si>
  <si>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</si>
  <si>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</si>
  <si>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</si>
  <si>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</si>
  <si>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</si>
  <si>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</si>
  <si>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</si>
  <si>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</si>
  <si>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</si>
  <si>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</si>
  <si>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</si>
  <si>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</si>
  <si>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</si>
  <si>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</si>
  <si>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</si>
  <si>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</si>
  <si>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</si>
  <si>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</si>
  <si>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</si>
  <si>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</si>
  <si>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</si>
  <si>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</si>
  <si>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</si>
  <si>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</si>
  <si>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</si>
  <si>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</si>
  <si>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</si>
  <si>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</si>
  <si>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</si>
  <si>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</si>
  <si>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</si>
  <si>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</si>
  <si>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</si>
  <si>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</si>
  <si>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</si>
  <si>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</si>
  <si>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</si>
  <si>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</si>
  <si>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</si>
  <si>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</si>
  <si>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</si>
  <si>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</si>
  <si>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</si>
  <si>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</si>
  <si>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</si>
  <si>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</si>
  <si>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</si>
  <si>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</si>
  <si>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</si>
  <si>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</si>
  <si>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</si>
  <si>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</si>
  <si>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</si>
  <si>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</si>
  <si>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</si>
  <si>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</si>
  <si>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</si>
  <si>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</si>
  <si>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</si>
  <si>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</si>
  <si>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</si>
  <si>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</si>
  <si>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</si>
  <si>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</si>
  <si>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</si>
  <si>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</si>
  <si>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</si>
  <si>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</si>
  <si>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</si>
  <si>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</si>
  <si>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</si>
  <si>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</si>
  <si>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</si>
  <si>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</si>
  <si>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</si>
  <si>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</si>
  <si>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</si>
  <si>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</si>
  <si>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</si>
  <si>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</si>
  <si>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</si>
  <si>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</si>
  <si>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</si>
  <si>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</si>
  <si>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</si>
  <si>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</si>
  <si>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</si>
  <si>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</si>
  <si>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</si>
  <si>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</si>
  <si>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</si>
  <si>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</si>
  <si>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</si>
  <si>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</si>
  <si>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</si>
  <si>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</si>
  <si>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</si>
  <si>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</si>
  <si>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</si>
  <si>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</si>
  <si>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</si>
  <si>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</si>
  <si>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</si>
  <si>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</si>
  <si>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</si>
  <si>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</si>
  <si>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</si>
  <si>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</si>
  <si>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</si>
  <si>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</si>
  <si>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</si>
  <si>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</si>
  <si>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</si>
  <si>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</si>
  <si>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</si>
  <si>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</si>
  <si>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</si>
  <si>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</si>
  <si>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</si>
  <si>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</si>
  <si>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</si>
  <si>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</si>
  <si>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</si>
  <si>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</si>
  <si>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</si>
  <si>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</si>
  <si>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</si>
  <si>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</si>
  <si>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</si>
  <si>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</si>
  <si>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</si>
  <si>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</si>
  <si>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</si>
  <si>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</si>
  <si>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</si>
  <si>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</si>
  <si>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</si>
  <si>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</si>
  <si>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</si>
  <si>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</si>
  <si>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</si>
  <si>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</si>
  <si>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</si>
  <si>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</si>
  <si>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</si>
  <si>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</si>
  <si>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</si>
  <si>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</si>
  <si>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</si>
  <si>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</si>
  <si>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</si>
  <si>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</si>
  <si>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</si>
  <si>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</si>
  <si>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</si>
  <si>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</si>
  <si>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</si>
  <si>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</si>
  <si>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</si>
  <si>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</si>
  <si>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</si>
  <si>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</si>
  <si>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</si>
  <si>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</si>
  <si>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</si>
  <si>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</si>
  <si>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</si>
  <si>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</si>
  <si>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</si>
  <si>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</si>
  <si>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</si>
  <si>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</si>
  <si>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</si>
  <si>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</si>
  <si>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</si>
  <si>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</si>
  <si>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</si>
  <si>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</si>
  <si>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</si>
  <si>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</si>
  <si>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</si>
  <si>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</si>
  <si>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</si>
  <si>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</si>
  <si>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</si>
  <si>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</si>
  <si>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</si>
  <si>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</si>
  <si>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</si>
  <si>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</si>
  <si>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</si>
  <si>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</si>
  <si>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</si>
  <si>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</si>
  <si>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</si>
  <si>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</si>
  <si>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</si>
  <si>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</si>
  <si>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</si>
  <si>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</si>
  <si>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</si>
  <si>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</si>
  <si>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</si>
  <si>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</si>
  <si>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</si>
  <si>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</si>
  <si>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</si>
  <si>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</si>
  <si>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</si>
  <si>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</si>
  <si>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</si>
  <si>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</si>
  <si>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</si>
  <si>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</si>
  <si>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</si>
  <si>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</si>
  <si>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</si>
  <si>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</si>
  <si>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</si>
  <si>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</si>
  <si>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</si>
  <si>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</si>
  <si>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</si>
  <si>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</si>
  <si>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</si>
  <si>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</si>
  <si>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</si>
  <si>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</si>
  <si>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</si>
  <si>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</si>
  <si>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</si>
  <si>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</si>
  <si>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</si>
  <si>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</si>
  <si>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</si>
  <si>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</si>
  <si>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</si>
  <si>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</si>
  <si>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</si>
  <si>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</si>
  <si>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</si>
  <si>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</si>
  <si>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</si>
  <si>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</si>
  <si>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</si>
  <si>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</si>
  <si>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</si>
  <si>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</si>
  <si>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</si>
  <si>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</si>
  <si>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</si>
  <si>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</si>
  <si>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</si>
  <si>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</si>
  <si>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</si>
  <si>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</si>
  <si>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</si>
  <si>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</si>
  <si>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</si>
  <si>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</si>
  <si>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</si>
  <si>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</si>
  <si>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</si>
  <si>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</si>
  <si>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</si>
  <si>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</si>
  <si>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</si>
  <si>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</si>
  <si>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</si>
  <si>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</si>
  <si>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</si>
  <si>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</si>
  <si>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</si>
  <si>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</si>
  <si>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</si>
  <si>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</si>
  <si>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</si>
  <si>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</si>
  <si>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</si>
  <si>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</si>
  <si>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</si>
  <si>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</si>
  <si>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</si>
  <si>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</si>
  <si>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</si>
  <si>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</si>
  <si>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</si>
  <si>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</si>
  <si>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</si>
  <si>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</si>
  <si>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</si>
  <si>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</si>
  <si>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</si>
  <si>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</si>
  <si>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</si>
  <si>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</si>
  <si>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</si>
  <si>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</si>
  <si>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</si>
  <si>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</si>
  <si>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</si>
  <si>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</si>
  <si>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</si>
  <si>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</si>
  <si>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</si>
  <si>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</si>
  <si>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</si>
  <si>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</si>
  <si>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</si>
  <si>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</si>
  <si>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</si>
  <si>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</si>
  <si>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</si>
  <si>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</si>
  <si>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</si>
  <si>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</si>
  <si>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</si>
  <si>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</si>
  <si>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</si>
  <si>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</si>
  <si>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</si>
  <si>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</si>
  <si>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</si>
  <si>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</si>
  <si>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</si>
  <si>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</si>
  <si>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</si>
  <si>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</si>
  <si>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</si>
  <si>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</si>
  <si>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</si>
  <si>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</si>
  <si>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</si>
  <si>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</si>
  <si>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</si>
  <si>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</si>
  <si>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</si>
  <si>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</si>
  <si>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</si>
  <si>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</si>
  <si>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</si>
  <si>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</si>
  <si>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</si>
  <si>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</si>
  <si>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</si>
  <si>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</si>
  <si>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</si>
  <si>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</si>
  <si>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</si>
  <si>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</si>
  <si>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</si>
  <si>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</si>
  <si>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</si>
  <si>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</si>
  <si>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</si>
  <si>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</si>
  <si>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</si>
  <si>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</si>
  <si>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</si>
  <si>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</si>
  <si>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</si>
  <si>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</si>
  <si>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</si>
  <si>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</si>
  <si>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</si>
  <si>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</si>
  <si>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</si>
  <si>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</si>
  <si>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</si>
  <si>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</si>
  <si>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</si>
  <si>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</si>
  <si>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</si>
  <si>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</si>
  <si>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</si>
  <si>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</si>
  <si>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</si>
  <si>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</si>
  <si>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</si>
  <si>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</si>
  <si>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</si>
  <si>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</si>
  <si>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</si>
  <si>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</si>
  <si>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</si>
  <si>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</si>
  <si>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</si>
  <si>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</si>
  <si>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</si>
  <si>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</si>
  <si>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</si>
  <si>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</si>
  <si>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</si>
  <si>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</si>
  <si>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</si>
  <si>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</si>
  <si>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</si>
  <si>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</si>
  <si>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</si>
  <si>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</si>
  <si>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</si>
  <si>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</si>
  <si>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</si>
  <si>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</si>
  <si>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</si>
  <si>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</si>
  <si>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</si>
  <si>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</si>
  <si>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</si>
  <si>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</si>
  <si>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</si>
  <si>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</si>
  <si>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</si>
  <si>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</si>
  <si>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</si>
  <si>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</si>
  <si>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</si>
  <si>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</si>
  <si>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</si>
  <si>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</si>
  <si>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</si>
  <si>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</si>
  <si>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</si>
  <si>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</si>
  <si>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</si>
  <si>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</si>
  <si>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</si>
  <si>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</si>
  <si>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</si>
  <si>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</si>
  <si>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</si>
  <si>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</si>
  <si>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</si>
  <si>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</si>
  <si>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</si>
  <si>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</si>
  <si>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</si>
  <si>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</si>
  <si>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</si>
  <si>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</si>
  <si>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</si>
  <si>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</si>
  <si>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</si>
  <si>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</si>
  <si>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</si>
  <si>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</si>
  <si>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</si>
  <si>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</si>
  <si>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</si>
  <si>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</si>
  <si>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</si>
  <si>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</si>
  <si>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</si>
  <si>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</si>
  <si>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</si>
  <si>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</si>
  <si>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</si>
  <si>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</si>
  <si>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</si>
  <si>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</si>
  <si>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</si>
  <si>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</si>
  <si>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</si>
  <si>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</si>
  <si>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</si>
  <si>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</si>
  <si>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</si>
  <si>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</si>
  <si>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</si>
  <si>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</si>
  <si>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</si>
  <si>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</si>
  <si>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</si>
  <si>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</si>
  <si>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</si>
  <si>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</si>
  <si>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</si>
  <si>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</si>
  <si>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</si>
  <si>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</si>
  <si>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</si>
  <si>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</si>
  <si>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</si>
  <si>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</si>
  <si>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</si>
  <si>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</si>
  <si>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</si>
  <si>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</si>
  <si>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</si>
  <si>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</si>
  <si>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</si>
  <si>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</si>
  <si>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</si>
  <si>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</si>
  <si>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</si>
  <si>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</si>
  <si>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</si>
  <si>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</si>
  <si>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</si>
  <si>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</si>
  <si>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</si>
  <si>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</si>
  <si>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</si>
  <si>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</si>
  <si>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</si>
  <si>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</si>
  <si>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</si>
  <si>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</si>
  <si>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</si>
  <si>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</si>
  <si>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</si>
  <si>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</si>
  <si>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</si>
  <si>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</si>
  <si>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</si>
  <si>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</si>
  <si>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</si>
  <si>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</si>
  <si>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</si>
  <si>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</si>
  <si>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</si>
  <si>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</si>
  <si>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</si>
  <si>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</si>
  <si>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</si>
  <si>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</si>
  <si>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</si>
  <si>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</si>
  <si>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</si>
  <si>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</si>
  <si>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</si>
  <si>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</si>
  <si>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</si>
  <si>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</si>
  <si>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</si>
  <si>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</si>
  <si>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</si>
  <si>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</si>
  <si>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</si>
  <si>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</si>
  <si>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</si>
  <si>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</si>
  <si>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</si>
  <si>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</si>
  <si>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</si>
  <si>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</si>
  <si>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</si>
  <si>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</si>
  <si>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</si>
  <si>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</si>
  <si>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</si>
  <si>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</si>
  <si>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</si>
  <si>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</si>
  <si>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</si>
  <si>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</si>
  <si>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</si>
  <si>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</si>
  <si>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</si>
  <si>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</si>
  <si>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</si>
  <si>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</si>
  <si>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</si>
  <si>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</si>
  <si>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</si>
  <si>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</si>
  <si>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</si>
  <si>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</si>
  <si>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</si>
  <si>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</si>
  <si>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</si>
  <si>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</si>
  <si>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</si>
  <si>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</si>
  <si>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</si>
  <si>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</si>
  <si>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</si>
  <si>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</si>
  <si>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</si>
  <si>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</si>
  <si>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</si>
  <si>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</si>
  <si>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</si>
  <si>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</si>
  <si>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</si>
  <si>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</si>
  <si>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</si>
  <si>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</si>
  <si>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</si>
  <si>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</si>
  <si>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</si>
  <si>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</si>
  <si>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</si>
  <si>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</si>
  <si>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</si>
  <si>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</si>
  <si>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</si>
  <si>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</si>
  <si>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</si>
  <si>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</si>
  <si>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</si>
  <si>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</si>
  <si>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</si>
  <si>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</si>
  <si>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</si>
  <si>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</si>
  <si>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</si>
  <si>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</si>
  <si>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</si>
  <si>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</si>
  <si>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</si>
  <si>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</si>
  <si>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</si>
  <si>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</si>
  <si>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</si>
  <si>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</si>
  <si>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</si>
  <si>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</si>
  <si>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</si>
  <si>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</si>
  <si>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</si>
  <si>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</si>
  <si>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</si>
  <si>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</si>
  <si>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</si>
  <si>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</si>
  <si>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</si>
  <si>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</si>
  <si>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</si>
  <si>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</si>
  <si>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</si>
  <si>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</si>
  <si>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</si>
  <si>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</si>
  <si>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</si>
  <si>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</si>
  <si>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</si>
  <si>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</si>
  <si>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</si>
  <si>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</si>
  <si>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</si>
  <si>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</si>
  <si>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</si>
  <si>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</si>
  <si>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</si>
  <si>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</si>
  <si>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</si>
  <si>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</si>
  <si>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</si>
  <si>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</si>
  <si>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</si>
  <si>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</si>
  <si>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</si>
  <si>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</si>
  <si>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</si>
  <si>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</si>
  <si>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</si>
  <si>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</si>
  <si>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</si>
  <si>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</si>
  <si>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</si>
  <si>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</si>
  <si>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</si>
  <si>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</si>
  <si>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</si>
  <si>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</si>
  <si>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</si>
  <si>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</si>
  <si>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</si>
  <si>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</si>
  <si>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</si>
  <si>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</si>
  <si>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</si>
  <si>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</si>
  <si>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</si>
  <si>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</si>
  <si>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</si>
  <si>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</si>
  <si>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</si>
  <si>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</si>
  <si>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</si>
  <si>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</si>
  <si>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</si>
  <si>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</si>
  <si>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</si>
  <si>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</si>
  <si>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</si>
  <si>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</si>
  <si>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</si>
  <si>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</si>
  <si>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</si>
  <si>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</si>
  <si>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</si>
  <si>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</si>
  <si>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</si>
  <si>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</si>
  <si>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</si>
  <si>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</si>
  <si>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</si>
  <si>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</si>
  <si>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</si>
  <si>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</si>
  <si>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</si>
  <si>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</si>
  <si>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</si>
  <si>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</si>
  <si>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</si>
  <si>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</si>
  <si>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</si>
  <si>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</si>
  <si>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</si>
  <si>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</si>
  <si>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</si>
  <si>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</si>
  <si>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</si>
  <si>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</si>
  <si>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</si>
  <si>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</si>
  <si>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</si>
  <si>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</si>
  <si>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</si>
  <si>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</si>
  <si>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</si>
  <si>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</si>
  <si>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</si>
  <si>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</si>
  <si>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</si>
  <si>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</si>
  <si>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</si>
  <si>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</si>
  <si>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</si>
  <si>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</si>
  <si>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</si>
  <si>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</si>
  <si>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</si>
  <si>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</si>
  <si>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</si>
  <si>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</si>
  <si>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</si>
  <si>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</si>
  <si>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</si>
  <si>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</si>
  <si>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</si>
  <si>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</si>
  <si>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</si>
  <si>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</si>
  <si>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</si>
  <si>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</si>
  <si>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</si>
  <si>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</si>
  <si>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</si>
  <si>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</si>
  <si>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</si>
  <si>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</si>
  <si>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</si>
  <si>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</si>
  <si>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</si>
  <si>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</si>
  <si>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</si>
  <si>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</si>
  <si>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</si>
  <si>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</si>
  <si>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</si>
  <si>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</si>
  <si>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</si>
  <si>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</si>
  <si>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</si>
  <si>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</si>
  <si>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</si>
  <si>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</si>
  <si>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</si>
  <si>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</si>
  <si>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</si>
  <si>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</si>
  <si>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</si>
  <si>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</si>
  <si>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</si>
  <si>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</si>
  <si>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</si>
  <si>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</si>
  <si>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</si>
  <si>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</si>
  <si>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</si>
  <si>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</si>
  <si>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</si>
  <si>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</si>
  <si>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</si>
  <si>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</si>
  <si>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</si>
  <si>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</si>
  <si>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</si>
  <si>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</si>
  <si>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</si>
  <si>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</si>
  <si>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</si>
  <si>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</si>
  <si>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</si>
  <si>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</si>
  <si>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</si>
  <si>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</si>
  <si>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</si>
  <si>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</si>
  <si>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</si>
  <si>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</si>
  <si>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</si>
  <si>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</si>
  <si>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</si>
  <si>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</si>
  <si>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</si>
  <si>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</si>
  <si>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</si>
  <si>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</si>
  <si>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</si>
  <si>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</si>
  <si>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</si>
  <si>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</si>
  <si>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</si>
  <si>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</si>
  <si>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</si>
  <si>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</si>
  <si>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</si>
  <si>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</si>
  <si>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</si>
  <si>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</si>
  <si>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</si>
  <si>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</si>
  <si>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</si>
  <si>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</si>
  <si>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</si>
  <si>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</si>
  <si>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</si>
  <si>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</si>
  <si>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</si>
  <si>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</si>
  <si>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</si>
  <si>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</si>
  <si>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</si>
  <si>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</si>
  <si>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</si>
  <si>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</si>
  <si>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</si>
  <si>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</si>
  <si>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</si>
  <si>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</si>
  <si>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</si>
  <si>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</si>
  <si>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</si>
  <si>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</si>
  <si>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</si>
  <si>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</si>
  <si>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</si>
  <si>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</si>
  <si>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</si>
  <si>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</si>
  <si>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</si>
  <si>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</si>
  <si>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</si>
  <si>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</si>
  <si>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</si>
  <si>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</si>
  <si>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</si>
  <si>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</si>
  <si>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</si>
  <si>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</si>
  <si>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</si>
  <si>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</si>
  <si>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</si>
  <si>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</si>
  <si>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</si>
  <si>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</si>
  <si>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</si>
  <si>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</si>
  <si>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</si>
  <si>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</si>
  <si>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</si>
  <si>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</si>
  <si>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</si>
  <si>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</si>
  <si>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</si>
  <si>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</si>
  <si>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</si>
  <si>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</si>
  <si>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</si>
  <si>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</si>
  <si>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</si>
  <si>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</si>
  <si>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</si>
  <si>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</si>
  <si>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</si>
  <si>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</si>
  <si>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</si>
  <si>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</si>
  <si>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</si>
  <si>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</si>
  <si>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</si>
  <si>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</si>
  <si>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</si>
  <si>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</si>
  <si>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</si>
  <si>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</si>
  <si>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</si>
  <si>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</si>
  <si>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</si>
  <si>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</si>
  <si>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</si>
  <si>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</si>
  <si>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</si>
  <si>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</si>
  <si>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</si>
  <si>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</si>
  <si>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</si>
  <si>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</si>
  <si>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</si>
  <si>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</si>
  <si>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</si>
  <si>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</si>
  <si>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</si>
  <si>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</si>
  <si>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</si>
  <si>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</si>
  <si>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</si>
  <si>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</si>
  <si>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</si>
  <si>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</si>
  <si>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</si>
  <si>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</si>
  <si>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</si>
  <si>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</si>
  <si>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</si>
  <si>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</si>
  <si>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</si>
  <si>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</si>
  <si>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</si>
  <si>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</si>
  <si>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</si>
  <si>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</si>
  <si>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</si>
  <si>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</si>
  <si>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</si>
  <si>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</si>
  <si>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</si>
  <si>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</si>
  <si>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</si>
  <si>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</si>
  <si>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</si>
  <si>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</si>
  <si>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</si>
  <si>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</si>
  <si>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</si>
  <si>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</si>
  <si>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</si>
  <si>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</si>
  <si>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</si>
  <si>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</si>
  <si>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</si>
  <si>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</si>
  <si>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</si>
  <si>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</si>
  <si>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</si>
  <si>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</si>
  <si>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</si>
  <si>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</si>
  <si>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</si>
  <si>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</si>
  <si>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</si>
  <si>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</si>
  <si>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</si>
  <si>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</si>
  <si>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</si>
  <si>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</si>
  <si>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</si>
  <si>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</si>
  <si>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</si>
  <si>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</si>
  <si>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</si>
  <si>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</si>
  <si>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</si>
  <si>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</si>
  <si>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</si>
  <si>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</si>
  <si>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</si>
  <si>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</si>
  <si>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</si>
  <si>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</si>
  <si>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</si>
  <si>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</si>
  <si>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</si>
  <si>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</si>
  <si>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</si>
  <si>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</si>
  <si>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</si>
  <si>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</si>
  <si>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</si>
  <si>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</si>
  <si>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</si>
  <si>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</si>
  <si>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</si>
  <si>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</si>
  <si>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</si>
  <si>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</si>
  <si>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</si>
  <si>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</si>
  <si>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</si>
  <si>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</si>
  <si>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</si>
  <si>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</si>
  <si>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</si>
  <si>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</si>
  <si>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</si>
  <si>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</si>
  <si>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</si>
  <si>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</si>
  <si>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</si>
  <si>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</si>
  <si>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</si>
  <si>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</si>
  <si>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</si>
  <si>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</si>
  <si>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</si>
  <si>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</si>
  <si>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</si>
  <si>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</si>
  <si>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</si>
  <si>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</si>
  <si>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</si>
  <si>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</si>
  <si>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</si>
  <si>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</si>
  <si>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</si>
  <si>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</si>
  <si>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</si>
  <si>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</si>
  <si>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</si>
  <si>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</si>
  <si>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</si>
  <si>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</si>
  <si>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</si>
  <si>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</si>
  <si>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</si>
  <si>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</si>
  <si>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</si>
  <si>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</si>
  <si>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</si>
  <si>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</si>
  <si>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</si>
  <si>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</si>
  <si>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</si>
  <si>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</si>
  <si>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</si>
  <si>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</si>
  <si>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</si>
  <si>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</si>
  <si>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</si>
  <si>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</si>
  <si>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</si>
  <si>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</si>
  <si>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</si>
  <si>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</si>
  <si>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</si>
  <si>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</si>
  <si>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</si>
  <si>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</si>
  <si>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</si>
  <si>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</si>
  <si>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</si>
  <si>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</si>
  <si>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</si>
  <si>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</si>
  <si>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</si>
  <si>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</si>
  <si>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</si>
  <si>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</si>
  <si>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</si>
  <si>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</si>
  <si>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</si>
  <si>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</si>
  <si>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</si>
  <si>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</si>
  <si>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</si>
  <si>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</si>
  <si>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</si>
  <si>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</si>
  <si>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</si>
  <si>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</si>
  <si>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</si>
  <si>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</si>
  <si>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</si>
  <si>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</si>
  <si>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</si>
  <si>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</si>
  <si>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</si>
  <si>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</si>
  <si>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</si>
  <si>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</si>
  <si>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</si>
  <si>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</si>
  <si>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</si>
  <si>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</si>
  <si>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</si>
  <si>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</si>
  <si>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</si>
  <si>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</si>
  <si>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</si>
  <si>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</si>
  <si>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</si>
  <si>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</si>
  <si>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</si>
  <si>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</si>
  <si>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</si>
  <si>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</si>
  <si>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</si>
  <si>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</si>
  <si>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</si>
  <si>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</si>
  <si>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</si>
  <si>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</si>
  <si>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</si>
  <si>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</si>
  <si>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</si>
  <si>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</si>
  <si>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</si>
  <si>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</si>
  <si>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</si>
  <si>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</si>
  <si>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</si>
  <si>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</si>
  <si>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</si>
  <si>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</si>
  <si>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</si>
  <si>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</si>
  <si>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</si>
  <si>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</si>
  <si>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</si>
  <si>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</si>
  <si>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</si>
  <si>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</si>
  <si>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</si>
  <si>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</si>
  <si>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</si>
  <si>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</si>
  <si>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</si>
  <si>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</si>
  <si>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</si>
  <si>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</si>
  <si>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</si>
  <si>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</si>
  <si>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</si>
  <si>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</si>
  <si>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</si>
  <si>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</si>
  <si>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</si>
  <si>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</si>
  <si>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</si>
  <si>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</si>
  <si>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</si>
  <si>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</si>
  <si>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</si>
  <si>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</si>
  <si>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</si>
  <si>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</si>
  <si>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</si>
  <si>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</si>
  <si>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</si>
  <si>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</si>
  <si>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</si>
  <si>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</si>
  <si>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</si>
  <si>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</si>
  <si>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</si>
  <si>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</si>
  <si>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</si>
  <si>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</si>
  <si>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</si>
  <si>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</si>
  <si>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</si>
  <si>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</si>
  <si>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</si>
  <si>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</si>
  <si>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</si>
  <si>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</si>
  <si>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</si>
  <si>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</si>
  <si>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</si>
  <si>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</si>
  <si>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</si>
  <si>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</si>
  <si>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</si>
  <si>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</si>
  <si>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</si>
  <si>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</si>
  <si>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</si>
  <si>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</si>
  <si>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</si>
  <si>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</si>
  <si>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</si>
  <si>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</si>
  <si>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</si>
  <si>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</si>
  <si>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</si>
  <si>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</si>
  <si>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</si>
  <si>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</si>
  <si>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</si>
  <si>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</si>
  <si>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</si>
  <si>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</si>
  <si>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</si>
  <si>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</si>
  <si>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</si>
  <si>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</si>
  <si>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</si>
  <si>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</si>
  <si>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</si>
  <si>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</si>
  <si>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</si>
  <si>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</si>
  <si>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</si>
  <si>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</si>
  <si>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</si>
  <si>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</si>
  <si>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</si>
  <si>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</si>
  <si>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</si>
  <si>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</si>
  <si>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</si>
  <si>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</si>
  <si>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</si>
  <si>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</si>
  <si>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</si>
  <si>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</si>
  <si>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</si>
  <si>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</si>
  <si>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</si>
  <si>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</si>
  <si>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</si>
  <si>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</si>
  <si>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</si>
  <si>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</si>
  <si>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</si>
  <si>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</si>
  <si>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</si>
  <si>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</si>
  <si>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</si>
  <si>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</si>
  <si>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</si>
  <si>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</si>
  <si>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</si>
  <si>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</si>
  <si>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</si>
  <si>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</si>
  <si>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</si>
  <si>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</si>
  <si>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</si>
  <si>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</si>
  <si>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</si>
  <si>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</si>
  <si>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</si>
  <si>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</si>
  <si>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</si>
  <si>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</si>
  <si>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</si>
  <si>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</si>
  <si>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</si>
  <si>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</si>
  <si>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</si>
  <si>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</si>
  <si>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</si>
  <si>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</si>
  <si>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</si>
  <si>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</si>
  <si>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</si>
  <si>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</si>
  <si>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</si>
  <si>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</si>
  <si>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</si>
  <si>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</si>
  <si>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</si>
  <si>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</si>
  <si>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</si>
  <si>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</si>
  <si>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</si>
  <si>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</si>
  <si>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</si>
  <si>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</si>
  <si>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</si>
  <si>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</si>
  <si>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</si>
  <si>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</si>
  <si>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</si>
  <si>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</si>
  <si>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</si>
  <si>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</si>
  <si>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</si>
  <si>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</si>
  <si>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</si>
  <si>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</si>
  <si>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</si>
  <si>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</si>
  <si>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</si>
  <si>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</si>
  <si>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</si>
  <si>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</si>
  <si>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</si>
  <si>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</si>
  <si>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</si>
  <si>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</si>
  <si>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</si>
  <si>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</si>
  <si>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</si>
  <si>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</si>
  <si>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</si>
  <si>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</si>
  <si>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</si>
  <si>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</si>
  <si>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</si>
  <si>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</si>
  <si>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</si>
  <si>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</si>
  <si>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</si>
  <si>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</si>
  <si>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</si>
  <si>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</si>
  <si>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</si>
  <si>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</si>
  <si>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</si>
  <si>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</si>
  <si>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</si>
  <si>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</si>
  <si>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</si>
  <si>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</si>
  <si>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</si>
  <si>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</si>
  <si>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</si>
  <si>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</si>
  <si>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</si>
  <si>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</si>
  <si>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</si>
  <si>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</si>
  <si>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</si>
  <si>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</si>
  <si>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</si>
  <si>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</si>
  <si>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</si>
  <si>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</si>
  <si>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</si>
  <si>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</si>
  <si>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</si>
  <si>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</si>
  <si>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</si>
  <si>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</si>
  <si>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</si>
  <si>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</si>
  <si>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</si>
  <si>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</si>
  <si>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</si>
  <si>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</si>
  <si>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</si>
  <si>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</si>
  <si>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</si>
  <si>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</si>
  <si>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</si>
  <si>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</si>
  <si>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</si>
  <si>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</si>
  <si>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</si>
  <si>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</si>
  <si>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</si>
  <si>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</si>
  <si>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</si>
  <si>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</si>
  <si>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</si>
  <si>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</si>
  <si>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</si>
  <si>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</si>
  <si>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</si>
  <si>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</si>
  <si>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</si>
  <si>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</si>
  <si>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</si>
  <si>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</si>
  <si>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</si>
  <si>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</si>
  <si>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</si>
  <si>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</si>
  <si>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</si>
  <si>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</si>
  <si>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</si>
  <si>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</si>
  <si>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</si>
  <si>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</si>
  <si>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</si>
  <si>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</si>
  <si>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</si>
  <si>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</si>
  <si>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</si>
  <si>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</si>
  <si>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</si>
  <si>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</si>
  <si>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</si>
  <si>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</si>
  <si>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</si>
  <si>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</si>
  <si>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</si>
  <si>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</si>
  <si>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</si>
  <si>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</si>
  <si>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</si>
  <si>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</si>
  <si>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</si>
  <si>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</si>
  <si>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</si>
  <si>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</si>
  <si>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</si>
  <si>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</si>
  <si>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</si>
  <si>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</si>
  <si>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</si>
  <si>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</si>
  <si>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</si>
  <si>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</si>
  <si>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</si>
  <si>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</si>
  <si>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</si>
  <si>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</si>
  <si>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</si>
  <si>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</si>
  <si>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</si>
  <si>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</si>
  <si>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</si>
  <si>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</si>
  <si>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</si>
  <si>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</si>
  <si>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</si>
  <si>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</si>
  <si>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</si>
  <si>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</si>
  <si>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</si>
  <si>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</si>
  <si>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</si>
  <si>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</si>
  <si>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</si>
  <si>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</si>
  <si>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</si>
  <si>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</si>
  <si>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</si>
  <si>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</si>
  <si>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</si>
  <si>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</si>
  <si>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</si>
  <si>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</si>
  <si>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</si>
  <si>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</si>
  <si>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</si>
  <si>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</si>
  <si>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</si>
  <si>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</si>
  <si>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</si>
  <si>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</si>
  <si>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</si>
  <si>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</si>
  <si>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</si>
  <si>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</si>
  <si>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</si>
  <si>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</si>
  <si>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</si>
  <si>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</si>
  <si>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</si>
  <si>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</si>
  <si>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</si>
  <si>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</si>
  <si>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</si>
  <si>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</si>
  <si>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</si>
  <si>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</si>
  <si>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</si>
  <si>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</si>
  <si>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</si>
  <si>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</si>
  <si>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</si>
  <si>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</si>
  <si>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</si>
  <si>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</si>
  <si>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</si>
  <si>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</si>
  <si>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</si>
  <si>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</si>
  <si>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</si>
  <si>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</si>
  <si>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</si>
  <si>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</si>
  <si>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</si>
  <si>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</si>
  <si>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</si>
  <si>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</si>
  <si>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</si>
  <si>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</si>
  <si>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</si>
  <si>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</si>
  <si>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</si>
  <si>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</si>
  <si>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</si>
  <si>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</si>
  <si>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</si>
  <si>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</si>
  <si>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</si>
  <si>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</si>
  <si>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</si>
  <si>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</si>
  <si>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</si>
  <si>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</si>
  <si>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</si>
  <si>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</si>
  <si>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</si>
  <si>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</si>
  <si>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</si>
  <si>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</si>
  <si>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</si>
  <si>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</si>
  <si>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</si>
  <si>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</si>
  <si>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</si>
  <si>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</si>
  <si>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</si>
  <si>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</si>
  <si>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</si>
  <si>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</si>
  <si>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</si>
  <si>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</si>
  <si>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</si>
  <si>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</si>
  <si>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</si>
  <si>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</si>
  <si>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</si>
  <si>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</si>
  <si>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</si>
  <si>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</si>
  <si>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</si>
  <si>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</si>
  <si>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</si>
  <si>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</si>
  <si>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</si>
  <si>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</si>
  <si>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</si>
  <si>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</si>
  <si>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</si>
  <si>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</si>
  <si>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</si>
  <si>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</si>
  <si>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</si>
  <si>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</si>
  <si>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</si>
  <si>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</si>
  <si>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</si>
  <si>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</si>
  <si>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</si>
  <si>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</si>
  <si>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</si>
  <si>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</si>
  <si>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</si>
  <si>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</si>
  <si>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</si>
  <si>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</si>
  <si>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</si>
  <si>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</si>
  <si>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</si>
  <si>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</si>
  <si>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</si>
  <si>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</si>
  <si>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</si>
  <si>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</si>
  <si>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</si>
  <si>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</si>
  <si>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</si>
  <si>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</si>
  <si>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</si>
  <si>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</si>
  <si>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</si>
  <si>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</si>
  <si>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</si>
  <si>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</si>
  <si>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</si>
  <si>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</si>
  <si>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</si>
  <si>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</si>
  <si>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</si>
  <si>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</si>
  <si>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</si>
  <si>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</si>
  <si>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</si>
  <si>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</si>
  <si>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</si>
  <si>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</si>
  <si>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</si>
  <si>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</si>
  <si>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</si>
  <si>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</si>
  <si>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</si>
  <si>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</si>
  <si>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</si>
  <si>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</si>
  <si>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</si>
  <si>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</si>
  <si>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</si>
  <si>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</si>
  <si>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</si>
  <si>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</si>
  <si>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</si>
  <si>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</si>
  <si>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</si>
  <si>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</si>
  <si>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</si>
  <si>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</si>
  <si>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</si>
  <si>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</si>
  <si>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</si>
  <si>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</si>
  <si>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</si>
  <si>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</si>
  <si>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</si>
  <si>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</si>
  <si>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</si>
  <si>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</si>
  <si>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</si>
  <si>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</si>
  <si>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</si>
  <si>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</si>
  <si>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</si>
  <si>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</si>
  <si>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</si>
  <si>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</si>
  <si>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</si>
  <si>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</si>
  <si>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</si>
  <si>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</si>
  <si>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</si>
  <si>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</si>
  <si>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</si>
  <si>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</si>
  <si>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</si>
  <si>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</si>
  <si>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</si>
  <si>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</si>
  <si>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</si>
  <si>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</si>
  <si>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</si>
  <si>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</si>
  <si>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</si>
  <si>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</si>
  <si>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</si>
  <si>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</si>
  <si>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</si>
  <si>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</si>
  <si>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</si>
  <si>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</si>
  <si>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</si>
  <si>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</si>
  <si>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</si>
  <si>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</si>
  <si>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</si>
  <si>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</si>
  <si>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</si>
  <si>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</si>
  <si>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</si>
  <si>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</si>
  <si>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</si>
  <si>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</si>
  <si>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</si>
  <si>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</si>
  <si>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</si>
  <si>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</si>
  <si>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</si>
  <si>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</si>
  <si>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</si>
  <si>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</si>
  <si>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</si>
  <si>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</si>
  <si>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</si>
  <si>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</si>
  <si>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</si>
  <si>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</si>
  <si>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</si>
  <si>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</si>
  <si>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</si>
  <si>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</si>
  <si>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</si>
  <si>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</si>
  <si>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</si>
  <si>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</si>
  <si>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</si>
  <si>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</si>
  <si>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</si>
  <si>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</si>
  <si>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</si>
  <si>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</si>
  <si>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</si>
  <si>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</si>
  <si>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</si>
  <si>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</si>
  <si>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</si>
  <si>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</si>
  <si>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</si>
  <si>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</si>
  <si>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</si>
  <si>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</si>
  <si>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</si>
  <si>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</si>
  <si>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</si>
  <si>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</si>
  <si>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</si>
  <si>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</si>
  <si>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</si>
  <si>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</si>
  <si>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</si>
  <si>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</si>
  <si>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</si>
  <si>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</si>
  <si>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</si>
  <si>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</si>
  <si>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</si>
  <si>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</si>
  <si>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</si>
  <si>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</si>
  <si>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</si>
  <si>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</si>
  <si>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</si>
  <si>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</si>
  <si>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</si>
  <si>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</si>
  <si>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</si>
  <si>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</si>
  <si>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</si>
  <si>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</si>
  <si>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</si>
  <si>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</si>
  <si>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</si>
  <si>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</si>
  <si>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</si>
  <si>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</si>
  <si>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</si>
  <si>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</si>
  <si>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</si>
  <si>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</si>
  <si>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</si>
  <si>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</si>
  <si>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</si>
  <si>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</si>
  <si>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</si>
  <si>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</si>
  <si>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</si>
  <si>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</si>
  <si>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</si>
  <si>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</si>
  <si>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</si>
  <si>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</si>
  <si>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</si>
  <si>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</si>
  <si>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</si>
  <si>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</si>
  <si>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</si>
  <si>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</si>
  <si>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</si>
  <si>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</si>
  <si>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</si>
  <si>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</si>
  <si>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</si>
  <si>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</si>
  <si>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</si>
  <si>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</si>
  <si>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</si>
  <si>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</si>
  <si>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</si>
  <si>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</si>
  <si>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</si>
  <si>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</si>
  <si>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</si>
  <si>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</si>
  <si>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</si>
  <si>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</si>
  <si>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</si>
  <si>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</si>
  <si>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</si>
  <si>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</si>
  <si>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</si>
  <si>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</si>
  <si>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</si>
  <si>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</si>
  <si>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</si>
  <si>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</si>
  <si>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</si>
  <si>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</si>
  <si>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</si>
  <si>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</si>
  <si>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</si>
  <si>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</si>
  <si>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</si>
  <si>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</si>
  <si>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</si>
  <si>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</si>
  <si>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</si>
  <si>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</si>
  <si>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</si>
  <si>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</si>
  <si>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</si>
  <si>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</si>
  <si>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</si>
  <si>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</si>
  <si>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</si>
  <si>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</si>
  <si>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</si>
  <si>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</si>
  <si>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</si>
  <si>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</si>
  <si>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</si>
  <si>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</si>
  <si>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</si>
  <si>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</si>
  <si>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</si>
  <si>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</si>
  <si>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</si>
  <si>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</si>
  <si>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</si>
  <si>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</si>
  <si>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</si>
  <si>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</si>
  <si>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</si>
  <si>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</si>
  <si>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</si>
  <si>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</si>
  <si>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</si>
  <si>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</si>
  <si>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</si>
  <si>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</si>
  <si>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</si>
  <si>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</si>
  <si>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</si>
  <si>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</si>
  <si>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</si>
  <si>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</si>
  <si>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</si>
  <si>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</si>
  <si>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</si>
  <si>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</si>
  <si>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</si>
  <si>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</si>
  <si>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</si>
  <si>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</si>
  <si>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</si>
  <si>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</si>
  <si>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</si>
  <si>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</si>
  <si>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</si>
  <si>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</si>
  <si>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</si>
  <si>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</si>
  <si>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</si>
  <si>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</si>
  <si>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</si>
  <si>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</si>
  <si>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</si>
  <si>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</si>
  <si>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</si>
  <si>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</si>
  <si>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</si>
  <si>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</si>
  <si>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</si>
  <si>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</si>
  <si>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</si>
  <si>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</si>
  <si>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</si>
  <si>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</si>
  <si>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</si>
  <si>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</si>
  <si>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</si>
  <si>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</si>
  <si>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</si>
  <si>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</si>
  <si>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</si>
  <si>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</si>
  <si>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</si>
  <si>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</si>
  <si>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</si>
  <si>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</si>
  <si>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</si>
  <si>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</si>
  <si>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</si>
  <si>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</si>
  <si>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</si>
  <si>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</si>
  <si>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</si>
  <si>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</si>
  <si>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</si>
  <si>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</si>
  <si>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</si>
  <si>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</si>
  <si>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</si>
  <si>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</si>
  <si>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</si>
  <si>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</si>
  <si>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</si>
  <si>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</si>
  <si>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</si>
  <si>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</si>
  <si>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</si>
  <si>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</si>
  <si>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</si>
  <si>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</si>
  <si>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</si>
  <si>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</si>
  <si>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</si>
  <si>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</si>
  <si>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</si>
  <si>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</si>
  <si>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</si>
  <si>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</si>
  <si>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</si>
  <si>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</si>
  <si>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</si>
  <si>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</si>
  <si>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</si>
  <si>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</si>
  <si>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</si>
  <si>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</si>
  <si>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</si>
  <si>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</si>
  <si>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</si>
  <si>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</si>
  <si>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</si>
  <si>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</si>
  <si>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</si>
  <si>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</si>
  <si>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</si>
  <si>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</si>
  <si>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</si>
  <si>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</si>
  <si>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</si>
  <si>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</si>
  <si>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</si>
  <si>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</si>
  <si>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</si>
  <si>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</si>
  <si>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</si>
  <si>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</si>
  <si>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</si>
  <si>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</si>
  <si>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</si>
  <si>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</si>
  <si>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</si>
  <si>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</si>
  <si>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</si>
  <si>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</si>
  <si>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</si>
  <si>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</si>
  <si>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</si>
  <si>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</si>
  <si>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</si>
  <si>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</si>
  <si>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</si>
  <si>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</si>
  <si>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</si>
  <si>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</si>
  <si>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</si>
  <si>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</si>
  <si>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</si>
  <si>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</si>
  <si>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</si>
  <si>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</si>
  <si>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</si>
  <si>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</si>
  <si>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</si>
  <si>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</si>
  <si>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</si>
  <si>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</si>
  <si>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</si>
  <si>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</si>
  <si>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</si>
  <si>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</si>
  <si>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</si>
  <si>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</si>
  <si>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</si>
  <si>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</si>
  <si>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</si>
  <si>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</si>
  <si>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</si>
  <si>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</si>
  <si>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</si>
  <si>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</si>
  <si>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</si>
  <si>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</si>
  <si>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</si>
  <si>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</si>
  <si>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</si>
  <si>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</si>
  <si>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</si>
  <si>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</si>
  <si>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</si>
  <si>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</si>
  <si>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</si>
  <si>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</si>
  <si>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</si>
  <si>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</si>
  <si>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</si>
  <si>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</si>
  <si>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</si>
  <si>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</si>
  <si>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</si>
  <si>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</si>
  <si>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</si>
  <si>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</si>
  <si>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</si>
  <si>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</si>
  <si>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</si>
  <si>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</si>
  <si>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</si>
  <si>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</si>
  <si>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</si>
  <si>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</si>
  <si>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</si>
  <si>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</si>
  <si>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</si>
  <si>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</si>
  <si>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</si>
  <si>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</si>
  <si>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</si>
  <si>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</si>
  <si>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</si>
  <si>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</si>
  <si>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</si>
  <si>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</si>
  <si>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</si>
  <si>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</si>
  <si>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</si>
  <si>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</si>
  <si>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</si>
  <si>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</si>
  <si>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</si>
  <si>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</si>
  <si>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</si>
  <si>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</si>
  <si>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</si>
  <si>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</si>
  <si>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</si>
  <si>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</si>
  <si>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</si>
  <si>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</si>
  <si>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</si>
  <si>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</si>
  <si>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</si>
  <si>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</si>
  <si>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</si>
  <si>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</si>
  <si>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</si>
  <si>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</si>
  <si>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</si>
  <si>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</si>
  <si>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</si>
  <si>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</si>
  <si>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</si>
  <si>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</si>
  <si>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</si>
  <si>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</si>
  <si>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</si>
  <si>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</si>
  <si>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</si>
  <si>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</si>
  <si>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</si>
  <si>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</si>
  <si>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</si>
  <si>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</si>
  <si>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</si>
  <si>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</si>
  <si>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</si>
  <si>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</si>
  <si>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</si>
  <si>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</si>
  <si>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</si>
  <si>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</si>
  <si>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</si>
  <si>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</si>
  <si>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</si>
  <si>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</si>
  <si>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</si>
  <si>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</si>
  <si>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</si>
  <si>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</si>
  <si>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</si>
  <si>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</si>
  <si>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</si>
  <si>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</si>
  <si>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</si>
  <si>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</si>
  <si>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</si>
  <si>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</si>
  <si>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</si>
  <si>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</si>
  <si>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</si>
  <si>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</si>
  <si>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</si>
  <si>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</si>
  <si>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</si>
  <si>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</si>
  <si>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</si>
  <si>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</si>
  <si>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</si>
  <si>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</si>
  <si>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</si>
  <si>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</si>
  <si>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</si>
  <si>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</si>
  <si>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</si>
  <si>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</si>
  <si>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</si>
  <si>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</si>
  <si>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</si>
  <si>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</si>
  <si>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</si>
  <si>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</si>
  <si>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</si>
  <si>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</si>
  <si>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</si>
  <si>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</si>
  <si>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</si>
  <si>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</si>
  <si>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</si>
  <si>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</si>
  <si>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</si>
  <si>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</si>
  <si>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</si>
  <si>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</si>
  <si>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</si>
  <si>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</si>
  <si>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</si>
  <si>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</si>
  <si>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</si>
  <si>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</si>
  <si>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</si>
  <si>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</si>
  <si>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</si>
  <si>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</si>
  <si>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</si>
  <si>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</si>
  <si>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</si>
  <si>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</si>
  <si>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</si>
  <si>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</si>
  <si>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</si>
  <si>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</si>
  <si>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</si>
  <si>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</si>
  <si>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</si>
  <si>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</si>
  <si>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</si>
  <si>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</si>
  <si>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</si>
  <si>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</si>
  <si>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</si>
  <si>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</si>
  <si>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</si>
  <si>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</si>
  <si>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</si>
  <si>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</si>
  <si>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</si>
  <si>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</si>
  <si>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</si>
  <si>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</si>
  <si>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</si>
  <si>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</si>
  <si>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</si>
  <si>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</si>
  <si>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</si>
  <si>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</si>
  <si>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</si>
  <si>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</si>
  <si>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</si>
  <si>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</si>
  <si>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</si>
  <si>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</si>
  <si>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</si>
  <si>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</si>
  <si>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</si>
  <si>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</si>
  <si>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</si>
  <si>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</si>
  <si>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</si>
  <si>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</si>
  <si>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</si>
  <si>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</si>
  <si>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</si>
  <si>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</si>
  <si>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</si>
  <si>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</si>
  <si>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</si>
  <si>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</si>
  <si>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</si>
  <si>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</si>
  <si>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</si>
  <si>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</si>
  <si>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</si>
  <si>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</si>
  <si>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</si>
  <si>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</si>
  <si>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</si>
  <si>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</si>
  <si>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</si>
  <si>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</si>
  <si>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</si>
  <si>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</si>
  <si>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</si>
  <si>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</si>
  <si>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</si>
  <si>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</si>
  <si>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</si>
  <si>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</si>
  <si>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</si>
  <si>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</si>
  <si>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</si>
  <si>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</si>
  <si>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</si>
  <si>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</si>
  <si>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</si>
  <si>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</si>
  <si>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</si>
  <si>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</si>
  <si>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</si>
  <si>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</si>
  <si>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</si>
  <si>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</si>
  <si>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</si>
  <si>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</si>
  <si>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</si>
  <si>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</si>
  <si>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</si>
  <si>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</si>
  <si>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</si>
  <si>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</si>
  <si>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</si>
  <si>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</si>
  <si>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</si>
  <si>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</si>
  <si>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</si>
  <si>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</si>
  <si>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</si>
  <si>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</si>
  <si>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</si>
  <si>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</si>
  <si>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</si>
  <si>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</si>
  <si>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</si>
  <si>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</si>
  <si>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</si>
  <si>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</si>
  <si>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</si>
  <si>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</si>
  <si>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</si>
  <si>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</si>
  <si>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</si>
  <si>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</si>
  <si>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</si>
  <si>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</si>
  <si>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</si>
  <si>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</si>
  <si>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</si>
  <si>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</si>
  <si>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</si>
  <si>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</si>
  <si>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</si>
  <si>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</si>
  <si>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</si>
  <si>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</si>
  <si>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</si>
  <si>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</si>
  <si>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</si>
  <si>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</si>
  <si>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</si>
  <si>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</si>
  <si>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</si>
  <si>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</si>
  <si>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</si>
  <si>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</si>
  <si>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</si>
  <si>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</si>
  <si>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</si>
  <si>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</si>
  <si>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</si>
  <si>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</si>
  <si>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</si>
  <si>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</si>
  <si>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</si>
  <si>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</si>
  <si>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</si>
  <si>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</si>
  <si>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</si>
  <si>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</si>
  <si>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</si>
  <si>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</si>
  <si>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</si>
  <si>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</si>
  <si>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</si>
  <si>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</si>
  <si>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</si>
  <si>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</si>
  <si>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</si>
  <si>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</si>
  <si>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</si>
  <si>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</si>
  <si>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</si>
  <si>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</si>
  <si>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</si>
  <si>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</si>
  <si>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</si>
  <si>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</si>
  <si>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</si>
  <si>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</si>
  <si>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</si>
  <si>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</si>
  <si>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</si>
  <si>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</si>
  <si>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</si>
  <si>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</si>
  <si>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</si>
  <si>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</si>
  <si>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</si>
  <si>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</si>
  <si>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</si>
  <si>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</si>
  <si>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</si>
  <si>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</si>
  <si>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</si>
  <si>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</si>
  <si>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</si>
  <si>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</si>
  <si>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</si>
  <si>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</si>
  <si>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</si>
  <si>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</si>
  <si>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</si>
  <si>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</si>
  <si>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</si>
  <si>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</si>
  <si>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</si>
  <si>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</si>
  <si>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</si>
  <si>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</si>
  <si>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</si>
  <si>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</si>
  <si>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</si>
  <si>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</si>
  <si>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</si>
  <si>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</si>
  <si>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</si>
  <si>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</si>
  <si>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</si>
  <si>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</si>
  <si>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</si>
  <si>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</si>
  <si>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</si>
  <si>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</si>
  <si>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</si>
  <si>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</si>
  <si>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</si>
  <si>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</si>
  <si>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</si>
  <si>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</si>
  <si>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</si>
  <si>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</si>
  <si>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</si>
  <si>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</si>
  <si>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</si>
  <si>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</si>
  <si>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</si>
  <si>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</si>
  <si>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</si>
  <si>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</si>
  <si>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</si>
  <si>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</si>
  <si>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</si>
  <si>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</si>
  <si>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</si>
  <si>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</si>
  <si>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</si>
  <si>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</si>
  <si>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</si>
  <si>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</si>
  <si>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</si>
  <si>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</si>
  <si>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</si>
  <si>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</si>
  <si>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</si>
  <si>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</si>
  <si>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</si>
  <si>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</si>
  <si>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</si>
  <si>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</si>
  <si>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</si>
  <si>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</si>
  <si>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</si>
  <si>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</si>
  <si>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</si>
  <si>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</si>
  <si>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</si>
  <si>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</si>
  <si>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</si>
  <si>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</si>
  <si>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</si>
  <si>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</si>
  <si>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</si>
  <si>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</si>
  <si>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</si>
  <si>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</si>
  <si>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</si>
  <si>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</si>
  <si>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</si>
  <si>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</si>
  <si>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</si>
  <si>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</si>
  <si>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</si>
  <si>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</si>
  <si>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</si>
  <si>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</si>
  <si>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</si>
  <si>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</si>
  <si>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</si>
  <si>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</si>
  <si>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</si>
  <si>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</si>
  <si>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</si>
  <si>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</si>
  <si>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</si>
  <si>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</si>
  <si>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</si>
  <si>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</si>
  <si>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</si>
  <si>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</si>
  <si>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</si>
  <si>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</si>
  <si>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</si>
  <si>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</si>
  <si>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</si>
  <si>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</si>
  <si>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</si>
  <si>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</si>
  <si>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</si>
  <si>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</si>
  <si>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</si>
  <si>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</si>
  <si>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</si>
  <si>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</si>
  <si>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</si>
  <si>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</si>
  <si>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</si>
  <si>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</si>
  <si>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</si>
  <si>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</si>
  <si>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</si>
  <si>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</si>
  <si>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</si>
  <si>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</si>
  <si>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</si>
  <si>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</si>
  <si>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</si>
  <si>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</si>
  <si>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</si>
  <si>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</si>
  <si>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</si>
  <si>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</si>
  <si>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</si>
  <si>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</si>
  <si>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</si>
  <si>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</si>
  <si>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</si>
  <si>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</si>
  <si>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</si>
  <si>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</si>
  <si>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</si>
  <si>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</si>
  <si>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</si>
  <si>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</si>
  <si>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</si>
  <si>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</si>
  <si>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</si>
  <si>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</si>
  <si>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</si>
  <si>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</si>
  <si>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</si>
  <si>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</si>
  <si>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</si>
  <si>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</si>
  <si>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</si>
  <si>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</si>
  <si>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</si>
  <si>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</si>
  <si>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</si>
  <si>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</si>
  <si>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</si>
  <si>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</si>
  <si>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</si>
  <si>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</si>
  <si>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</si>
  <si>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</si>
  <si>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</si>
  <si>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</si>
  <si>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</si>
  <si>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</si>
  <si>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</si>
  <si>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</si>
  <si>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</si>
  <si>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</si>
  <si>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</si>
  <si>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</si>
  <si>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</si>
  <si>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</si>
  <si>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</si>
  <si>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</si>
  <si>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</si>
  <si>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</si>
  <si>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</si>
  <si>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</si>
  <si>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</si>
  <si>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</si>
  <si>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</si>
  <si>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</si>
  <si>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</si>
  <si>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</si>
  <si>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</si>
  <si>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</si>
  <si>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</si>
  <si>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</si>
  <si>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</si>
  <si>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</si>
  <si>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</si>
  <si>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</si>
  <si>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</si>
  <si>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</si>
  <si>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</si>
  <si>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</si>
  <si>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</si>
  <si>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</si>
  <si>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</si>
  <si>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</si>
  <si>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</si>
  <si>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</si>
  <si>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</si>
  <si>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</si>
  <si>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</si>
  <si>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</si>
  <si>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</si>
  <si>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</si>
  <si>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</si>
  <si>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</si>
  <si>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</si>
  <si>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</si>
  <si>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</si>
  <si>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</si>
  <si>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</si>
  <si>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</si>
  <si>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</si>
  <si>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</si>
  <si>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</si>
  <si>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</si>
  <si>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</si>
  <si>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</si>
  <si>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</si>
  <si>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</si>
  <si>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</si>
  <si>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</si>
  <si>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</si>
  <si>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</si>
  <si>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</si>
  <si>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</si>
  <si>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</si>
  <si>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</si>
  <si>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</si>
  <si>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</si>
  <si>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</si>
  <si>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</si>
  <si>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</si>
  <si>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</si>
  <si>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</si>
  <si>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</si>
  <si>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</si>
  <si>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</si>
  <si>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</si>
  <si>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</si>
  <si>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</si>
  <si>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</si>
  <si>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</si>
  <si>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</si>
  <si>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</si>
  <si>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</si>
  <si>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</si>
  <si>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</si>
  <si>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</si>
  <si>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</si>
  <si>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</si>
  <si>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</si>
  <si>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</si>
  <si>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</si>
  <si>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</si>
  <si>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</si>
  <si>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</si>
  <si>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</si>
  <si>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</si>
  <si>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</si>
  <si>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</si>
  <si>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</si>
  <si>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</si>
  <si>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</si>
  <si>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</si>
  <si>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</si>
  <si>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</si>
  <si>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</si>
  <si>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</si>
  <si>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</si>
  <si>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</si>
  <si>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</si>
  <si>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</si>
  <si>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</si>
  <si>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</si>
  <si>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</si>
  <si>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</si>
  <si>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</si>
  <si>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</si>
  <si>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</si>
  <si>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</si>
  <si>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</si>
  <si>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</si>
  <si>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</si>
  <si>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</si>
  <si>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</si>
  <si>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</si>
  <si>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</si>
  <si>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</si>
  <si>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</si>
  <si>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</si>
  <si>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</si>
  <si>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</si>
  <si>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</si>
  <si>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</si>
  <si>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</si>
  <si>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</si>
  <si>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</si>
  <si>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</si>
  <si>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</si>
  <si>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</si>
  <si>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</si>
  <si>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</si>
  <si>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</si>
  <si>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</si>
  <si>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</si>
  <si>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</si>
  <si>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</si>
  <si>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</si>
  <si>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</si>
  <si>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</si>
  <si>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</si>
  <si>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</si>
  <si>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</si>
  <si>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</si>
  <si>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</si>
  <si>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</si>
  <si>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</si>
  <si>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</si>
  <si>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</si>
  <si>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</si>
  <si>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</si>
  <si>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</si>
  <si>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</si>
  <si>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</si>
  <si>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</si>
  <si>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</si>
  <si>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</si>
  <si>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</si>
  <si>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</si>
  <si>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</si>
  <si>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</si>
  <si>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</si>
  <si>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</si>
  <si>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</si>
  <si>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</si>
  <si>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</si>
  <si>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</si>
  <si>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</si>
  <si>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</si>
  <si>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</si>
  <si>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</si>
  <si>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</si>
  <si>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</si>
  <si>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</si>
  <si>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</si>
  <si>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</si>
  <si>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</si>
  <si>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</si>
  <si>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</si>
  <si>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</si>
  <si>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</si>
  <si>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</si>
  <si>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</si>
  <si>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</si>
  <si>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</si>
  <si>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</si>
  <si>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</si>
  <si>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</si>
  <si>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</si>
  <si>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</si>
  <si>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</si>
  <si>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</si>
  <si>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</si>
  <si>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</si>
  <si>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</si>
  <si>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</si>
  <si>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</si>
  <si>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</si>
  <si>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</si>
  <si>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</si>
  <si>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</si>
  <si>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</si>
  <si>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</si>
  <si>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</si>
  <si>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</si>
  <si>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</si>
  <si>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</si>
  <si>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</si>
  <si>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</si>
  <si>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</si>
  <si>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</si>
  <si>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</si>
  <si>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</si>
  <si>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</si>
  <si>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</si>
  <si>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</si>
  <si>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</si>
  <si>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</si>
  <si>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</si>
  <si>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</si>
  <si>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</si>
  <si>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</si>
  <si>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</si>
  <si>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</si>
  <si>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</si>
  <si>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</si>
  <si>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</si>
  <si>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</si>
  <si>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</si>
  <si>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</si>
  <si>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</si>
  <si>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</si>
  <si>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</si>
  <si>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</si>
  <si>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</si>
  <si>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</si>
  <si>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</si>
  <si>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</si>
  <si>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</si>
  <si>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</si>
  <si>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</si>
  <si>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</si>
  <si>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</si>
  <si>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</si>
  <si>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</si>
  <si>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</si>
  <si>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</si>
  <si>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</si>
  <si>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</si>
  <si>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</si>
  <si>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</si>
  <si>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</si>
  <si>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</si>
  <si>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</si>
  <si>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</si>
  <si>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</si>
  <si>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</si>
  <si>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</si>
  <si>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</si>
  <si>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</si>
  <si>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</si>
  <si>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</si>
  <si>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</si>
  <si>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</si>
  <si>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</si>
  <si>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</si>
  <si>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</si>
  <si>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</si>
  <si>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</si>
  <si>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</si>
  <si>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</si>
  <si>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</si>
  <si>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</si>
  <si>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</si>
  <si>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</si>
  <si>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</si>
  <si>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</si>
  <si>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</si>
  <si>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</si>
  <si>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</si>
  <si>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</si>
  <si>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</si>
  <si>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</si>
  <si>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</si>
  <si>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</si>
  <si>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</si>
  <si>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</si>
  <si>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</si>
  <si>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</si>
  <si>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</si>
  <si>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</si>
  <si>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</si>
  <si>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</si>
  <si>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</si>
  <si>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</si>
  <si>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</si>
  <si>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</si>
  <si>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</si>
  <si>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</si>
  <si>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</si>
  <si>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</si>
  <si>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</si>
  <si>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</si>
  <si>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</si>
  <si>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</si>
  <si>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</si>
  <si>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</si>
  <si>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</si>
  <si>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</si>
  <si>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</si>
  <si>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</si>
  <si>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</si>
  <si>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</si>
  <si>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</si>
  <si>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</si>
  <si>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</si>
  <si>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</si>
  <si>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</si>
  <si>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</si>
  <si>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</si>
  <si>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</si>
  <si>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</si>
  <si>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</si>
  <si>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</si>
  <si>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</si>
  <si>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</si>
  <si>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</si>
  <si>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</si>
  <si>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</si>
  <si>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</si>
  <si>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</si>
  <si>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</si>
  <si>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</si>
  <si>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</si>
  <si>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</si>
  <si>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</si>
  <si>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</si>
  <si>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</si>
  <si>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</si>
  <si>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</si>
  <si>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</si>
  <si>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</si>
  <si>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</si>
  <si>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</si>
  <si>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</si>
  <si>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</si>
  <si>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</si>
  <si>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</si>
  <si>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</si>
  <si>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</si>
  <si>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</si>
  <si>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</si>
  <si>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</si>
  <si>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</si>
  <si>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</si>
  <si>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</si>
  <si>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</si>
  <si>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</si>
  <si>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</si>
  <si>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</si>
  <si>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</si>
  <si>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</si>
  <si>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</si>
  <si>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</si>
  <si>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</si>
  <si>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</si>
  <si>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</si>
  <si>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</si>
  <si>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</si>
  <si>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</si>
  <si>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</si>
  <si>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</si>
  <si>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</si>
  <si>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</si>
  <si>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</si>
  <si>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</si>
  <si>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</si>
  <si>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</si>
  <si>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</si>
  <si>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</si>
  <si>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</si>
  <si>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</si>
  <si>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</si>
  <si>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</si>
  <si>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</si>
  <si>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</si>
  <si>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</si>
  <si>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</si>
  <si>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</si>
  <si>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</si>
  <si>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</si>
  <si>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</si>
  <si>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</si>
  <si>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</si>
  <si>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</si>
  <si>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</si>
  <si>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</si>
  <si>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</si>
  <si>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</si>
  <si>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</si>
  <si>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</si>
  <si>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</si>
  <si>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</si>
  <si>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</si>
  <si>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</si>
  <si>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</si>
  <si>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</si>
  <si>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</si>
  <si>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</si>
  <si>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</si>
  <si>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</si>
  <si>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</si>
  <si>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</si>
  <si>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</si>
  <si>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</si>
  <si>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</si>
  <si>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</si>
  <si>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</si>
  <si>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</si>
  <si>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</si>
  <si>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</si>
  <si>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</si>
  <si>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</si>
  <si>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</si>
  <si>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</si>
  <si>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</si>
  <si>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</si>
  <si>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</si>
  <si>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</si>
  <si>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</si>
  <si>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</si>
  <si>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</si>
  <si>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</si>
  <si>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</si>
  <si>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</si>
  <si>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</si>
  <si>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</si>
  <si>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</si>
  <si>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</si>
  <si>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</si>
  <si>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</si>
  <si>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</si>
  <si>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</si>
  <si>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</si>
  <si>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</si>
  <si>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</si>
  <si>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</si>
  <si>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</si>
  <si>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</si>
  <si>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</si>
  <si>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</si>
  <si>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</si>
  <si>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</si>
  <si>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</si>
  <si>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</si>
  <si>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</si>
  <si>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</si>
  <si>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</si>
  <si>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</si>
  <si>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</si>
  <si>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</si>
  <si>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</si>
  <si>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</si>
  <si>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</si>
  <si>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</si>
  <si>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</si>
  <si>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</si>
  <si>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</si>
  <si>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</si>
  <si>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</si>
  <si>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</si>
  <si>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</si>
  <si>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</si>
  <si>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</si>
  <si>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</si>
  <si>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</si>
  <si>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</si>
  <si>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</si>
  <si>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</si>
  <si>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</si>
  <si>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</si>
  <si>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</si>
  <si>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</si>
  <si>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</si>
  <si>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</si>
  <si>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</si>
  <si>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</si>
  <si>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</si>
  <si>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</si>
  <si>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</si>
  <si>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</si>
  <si>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</si>
  <si>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</si>
  <si>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</si>
  <si>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</si>
  <si>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</si>
  <si>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</si>
  <si>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</si>
  <si>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</si>
  <si>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</si>
  <si>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</si>
  <si>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</si>
  <si>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</si>
  <si>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</si>
  <si>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</si>
  <si>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</si>
  <si>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</si>
  <si>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</si>
  <si>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</si>
  <si>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</si>
  <si>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</si>
  <si>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</si>
  <si>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</si>
  <si>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</si>
  <si>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</si>
  <si>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</si>
  <si>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</si>
  <si>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</si>
  <si>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</si>
  <si>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</si>
  <si>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</si>
  <si>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</si>
  <si>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</si>
  <si>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</si>
  <si>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</si>
  <si>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</si>
  <si>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</si>
  <si>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</si>
  <si>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</si>
  <si>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</si>
  <si>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</si>
  <si>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</si>
  <si>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</si>
  <si>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</si>
  <si>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</si>
  <si>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</si>
  <si>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</si>
  <si>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</si>
  <si>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</si>
  <si>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</si>
  <si>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</si>
  <si>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</si>
  <si>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</si>
  <si>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</si>
  <si>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</si>
  <si>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</si>
  <si>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</si>
  <si>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</si>
  <si>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</si>
  <si>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</si>
  <si>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</si>
  <si>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</si>
  <si>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</si>
  <si>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</si>
  <si>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</si>
  <si>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</si>
  <si>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</si>
  <si>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</si>
  <si>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</si>
  <si>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</si>
  <si>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</si>
  <si>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</si>
  <si>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</si>
  <si>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</si>
  <si>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</si>
  <si>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</si>
  <si>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</si>
  <si>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</si>
  <si>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</si>
  <si>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</si>
  <si>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</si>
  <si>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</si>
  <si>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</si>
  <si>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</si>
  <si>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</si>
  <si>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</si>
  <si>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</si>
  <si>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</si>
  <si>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</si>
  <si>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</si>
  <si>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</si>
  <si>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</si>
  <si>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</si>
  <si>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</si>
  <si>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</si>
  <si>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</si>
  <si>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</si>
  <si>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</si>
  <si>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</si>
  <si>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</si>
  <si>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</si>
  <si>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</si>
  <si>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</si>
  <si>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</si>
  <si>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</si>
  <si>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</si>
  <si>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</si>
  <si>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</si>
  <si>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</si>
  <si>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</si>
  <si>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</si>
  <si>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</si>
  <si>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</si>
  <si>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</si>
  <si>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</si>
  <si>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</si>
  <si>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</si>
  <si>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</si>
  <si>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</si>
  <si>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</si>
  <si>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</si>
  <si>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</si>
  <si>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</si>
  <si>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</si>
  <si>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</si>
  <si>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</si>
  <si>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</si>
  <si>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</si>
  <si>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</si>
  <si>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</si>
  <si>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</si>
  <si>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</si>
  <si>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</si>
  <si>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</si>
  <si>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</si>
  <si>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</si>
  <si>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</si>
  <si>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</si>
  <si>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</si>
  <si>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</si>
  <si>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</si>
  <si>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</si>
  <si>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</si>
  <si>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</si>
  <si>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</si>
  <si>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</si>
  <si>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</si>
  <si>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</si>
  <si>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</si>
  <si>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</si>
  <si>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</si>
  <si>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</si>
  <si>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</si>
  <si>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</si>
  <si>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</si>
  <si>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</si>
  <si>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</si>
  <si>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</si>
  <si>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</si>
  <si>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</si>
  <si>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</si>
  <si>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</si>
  <si>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</si>
  <si>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</si>
  <si>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</si>
  <si>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</si>
  <si>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</si>
  <si>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</si>
  <si>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</si>
  <si>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</si>
  <si>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</si>
  <si>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</si>
  <si>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</si>
  <si>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</si>
  <si>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</si>
  <si>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</si>
  <si>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</si>
  <si>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</si>
  <si>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</si>
  <si>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</si>
  <si>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</si>
  <si>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</si>
  <si>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</si>
  <si>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</si>
  <si>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</si>
  <si>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</si>
  <si>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</si>
  <si>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</si>
  <si>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</si>
  <si>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</si>
  <si>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</si>
  <si>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</si>
  <si>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</si>
  <si>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</si>
  <si>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</si>
  <si>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</si>
  <si>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</si>
  <si>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</si>
  <si>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</si>
  <si>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</si>
  <si>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</si>
  <si>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</si>
  <si>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</si>
  <si>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</si>
  <si>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</si>
  <si>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</si>
  <si>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</si>
  <si>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</si>
  <si>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</si>
  <si>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</si>
  <si>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</si>
  <si>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</si>
  <si>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</si>
  <si>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</si>
  <si>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</si>
  <si>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</si>
  <si>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</si>
  <si>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</si>
  <si>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</si>
  <si>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</si>
  <si>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</si>
  <si>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</si>
  <si>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</si>
  <si>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</si>
  <si>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</si>
  <si>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</si>
  <si>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</si>
  <si>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</si>
  <si>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</si>
  <si>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</si>
  <si>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</si>
  <si>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</si>
  <si>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</si>
  <si>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</si>
  <si>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</si>
  <si>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</si>
  <si>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</si>
  <si>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</si>
  <si>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</si>
  <si>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</si>
  <si>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</si>
  <si>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</si>
  <si>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</si>
  <si>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</si>
  <si>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</si>
  <si>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</si>
  <si>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</si>
  <si>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</si>
  <si>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</si>
  <si>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</si>
  <si>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</si>
  <si>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</si>
  <si>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</si>
  <si>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</si>
  <si>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</si>
  <si>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</si>
  <si>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</si>
  <si>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</si>
  <si>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</si>
  <si>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</si>
  <si>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</si>
  <si>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</si>
  <si>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</si>
  <si>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</si>
  <si>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</si>
  <si>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</si>
  <si>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</si>
  <si>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</si>
  <si>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</si>
  <si>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</si>
  <si>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</si>
  <si>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</si>
  <si>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</si>
  <si>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</si>
  <si>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</si>
  <si>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</si>
  <si>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</si>
  <si>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</si>
  <si>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</si>
  <si>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</si>
  <si>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</si>
  <si>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</si>
  <si>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</si>
  <si>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</si>
  <si>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</si>
  <si>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</si>
  <si>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</si>
  <si>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</si>
  <si>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</si>
  <si>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</si>
  <si>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</si>
  <si>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</si>
  <si>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</si>
  <si>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</si>
  <si>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</si>
  <si>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</si>
  <si>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</si>
  <si>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</si>
  <si>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</si>
  <si>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</si>
  <si>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</si>
  <si>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</si>
  <si>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</si>
  <si>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</si>
  <si>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</si>
  <si>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</si>
  <si>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</si>
  <si>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</si>
  <si>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</si>
  <si>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</si>
  <si>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</si>
  <si>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</si>
  <si>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</si>
  <si>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</si>
  <si>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</si>
  <si>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</si>
  <si>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</si>
  <si>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</si>
  <si>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</si>
  <si>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</si>
  <si>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</si>
  <si>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</si>
  <si>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</si>
  <si>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</si>
  <si>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</si>
  <si>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</si>
  <si>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</si>
  <si>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</si>
  <si>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</si>
  <si>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</si>
  <si>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</si>
  <si>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</si>
  <si>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</si>
  <si>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</si>
  <si>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</si>
  <si>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</si>
  <si>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</si>
  <si>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</si>
  <si>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</si>
  <si>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</si>
  <si>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</si>
  <si>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</si>
  <si>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</si>
  <si>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</si>
  <si>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</si>
  <si>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</si>
  <si>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</si>
  <si>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</si>
  <si>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</si>
  <si>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</si>
  <si>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</si>
  <si>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</si>
  <si>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</si>
  <si>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</si>
  <si>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</si>
  <si>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</si>
  <si>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</si>
  <si>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</si>
  <si>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</si>
  <si>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</si>
  <si>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</si>
  <si>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</si>
  <si>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</si>
  <si>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</si>
  <si>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</si>
  <si>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</si>
  <si>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</si>
  <si>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</si>
  <si>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</si>
  <si>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</si>
  <si>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</si>
  <si>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</si>
  <si>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</si>
  <si>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</si>
  <si>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</si>
  <si>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</si>
  <si>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</si>
  <si>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</si>
  <si>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</si>
  <si>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</si>
  <si>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</si>
  <si>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</si>
  <si>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</si>
  <si>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</si>
  <si>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</si>
  <si>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</si>
  <si>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</si>
  <si>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</si>
  <si>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</si>
  <si>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</si>
  <si>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</si>
  <si>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</si>
  <si>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</si>
  <si>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</si>
  <si>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</si>
  <si>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</si>
  <si>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</si>
  <si>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</si>
  <si>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</si>
  <si>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</si>
  <si>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</si>
  <si>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</si>
  <si>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</si>
  <si>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</si>
  <si>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</si>
  <si>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</si>
  <si>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</si>
  <si>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</si>
  <si>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</si>
  <si>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</si>
  <si>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</si>
  <si>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</si>
  <si>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</si>
  <si>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</si>
  <si>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</si>
  <si>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</si>
  <si>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</si>
  <si>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</si>
  <si>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</si>
  <si>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</si>
  <si>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</si>
  <si>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</si>
  <si>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</si>
  <si>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</si>
  <si>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</si>
  <si>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</si>
  <si>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</si>
  <si>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</si>
  <si>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</si>
  <si>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</si>
  <si>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</si>
  <si>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</si>
  <si>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</si>
  <si>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</si>
  <si>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</si>
  <si>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</si>
  <si>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</si>
  <si>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</si>
  <si>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</si>
  <si>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</si>
  <si>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</si>
  <si>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</si>
  <si>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</si>
  <si>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</si>
  <si>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</si>
  <si>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</si>
  <si>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</si>
  <si>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</si>
  <si>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</si>
  <si>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</si>
  <si>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</si>
  <si>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</si>
  <si>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</si>
  <si>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</si>
  <si>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</si>
  <si>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</si>
  <si>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</si>
  <si>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</si>
  <si>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</si>
  <si>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</si>
  <si>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</si>
  <si>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</si>
  <si>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</si>
  <si>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</si>
  <si>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</si>
  <si>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</si>
  <si>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</si>
  <si>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</si>
  <si>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</si>
  <si>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</si>
  <si>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</si>
  <si>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</si>
  <si>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</si>
  <si>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</si>
  <si>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</si>
  <si>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</si>
  <si>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</si>
  <si>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</si>
  <si>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</si>
  <si>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</si>
  <si>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</si>
  <si>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</si>
  <si>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</si>
  <si>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</si>
  <si>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</si>
  <si>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</si>
  <si>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</si>
  <si>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</si>
  <si>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</si>
  <si>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</si>
  <si>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</si>
  <si>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</si>
  <si>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</si>
  <si>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</si>
  <si>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</si>
  <si>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</si>
  <si>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</si>
  <si>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</si>
  <si>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</si>
  <si>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</si>
  <si>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</si>
  <si>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</si>
  <si>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</si>
  <si>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</si>
  <si>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</si>
  <si>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</si>
  <si>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</si>
  <si>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</si>
  <si>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</si>
  <si>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</si>
  <si>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</si>
  <si>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</si>
  <si>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</si>
  <si>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</si>
  <si>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</si>
  <si>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</si>
  <si>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</si>
  <si>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</si>
  <si>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</si>
  <si>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</si>
  <si>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</si>
  <si>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</si>
  <si>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</si>
  <si>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</si>
  <si>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</si>
  <si>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</si>
  <si>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</si>
  <si>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</si>
  <si>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</si>
  <si>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</si>
  <si>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</si>
  <si>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</si>
  <si>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</si>
  <si>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</si>
  <si>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</si>
  <si>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</si>
  <si>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</si>
  <si>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</si>
  <si>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</si>
  <si>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</si>
  <si>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</si>
  <si>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</si>
  <si>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</si>
  <si>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</si>
  <si>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</si>
  <si>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</si>
  <si>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</si>
  <si>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</si>
  <si>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</si>
  <si>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</si>
  <si>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</si>
  <si>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</si>
  <si>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</si>
  <si>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</si>
  <si>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</si>
  <si>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</si>
  <si>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</si>
  <si>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</si>
  <si>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</si>
  <si>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</si>
  <si>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</si>
  <si>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</si>
  <si>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</si>
  <si>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</si>
  <si>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</si>
  <si>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</si>
  <si>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</si>
  <si>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</si>
  <si>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</si>
  <si>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</si>
  <si>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</si>
  <si>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</si>
  <si>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</si>
  <si>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</si>
  <si>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</si>
  <si>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</si>
  <si>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</si>
  <si>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</si>
  <si>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</si>
  <si>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</si>
  <si>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</si>
  <si>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</si>
  <si>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</si>
  <si>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</si>
  <si>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</si>
  <si>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</si>
  <si>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</si>
  <si>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</si>
  <si>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</si>
  <si>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</si>
  <si>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</si>
  <si>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</si>
  <si>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</si>
  <si>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</si>
  <si>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</si>
  <si>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</si>
  <si>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</si>
  <si>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</si>
  <si>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</si>
  <si>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</si>
  <si>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</si>
  <si>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</si>
  <si>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</si>
  <si>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</si>
  <si>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</si>
  <si>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</si>
  <si>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</si>
  <si>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</si>
  <si>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</si>
  <si>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</si>
  <si>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</si>
  <si>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</si>
  <si>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</si>
  <si>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</si>
  <si>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</si>
  <si>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</si>
  <si>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</si>
  <si>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</si>
  <si>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</si>
  <si>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</si>
  <si>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</si>
  <si>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</si>
  <si>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</si>
  <si>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</si>
  <si>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</si>
  <si>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</si>
  <si>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</si>
  <si>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</si>
  <si>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</si>
  <si>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</si>
  <si>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</si>
  <si>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</si>
  <si>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</si>
  <si>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</si>
  <si>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</si>
  <si>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</si>
  <si>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</si>
  <si>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</si>
  <si>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</si>
  <si>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</si>
  <si>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</si>
  <si>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</si>
  <si>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</si>
  <si>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</si>
  <si>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</si>
  <si>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</si>
  <si>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</si>
  <si>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</si>
  <si>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</si>
  <si>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</si>
  <si>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</si>
  <si>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</si>
  <si>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</si>
  <si>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</si>
  <si>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</si>
  <si>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</si>
  <si>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</si>
  <si>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</si>
  <si>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</si>
  <si>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</si>
  <si>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</si>
  <si>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</si>
  <si>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</si>
  <si>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</si>
  <si>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</si>
  <si>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</si>
  <si>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</si>
  <si>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</si>
  <si>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</si>
  <si>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</si>
  <si>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</si>
  <si>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</si>
  <si>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</si>
  <si>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</si>
  <si>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</si>
  <si>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</si>
  <si>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</si>
  <si>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</si>
  <si>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</si>
  <si>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</si>
  <si>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</si>
  <si>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</si>
  <si>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</si>
  <si>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</si>
  <si>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</si>
  <si>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</si>
  <si>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</si>
  <si>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</si>
  <si>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</si>
  <si>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</si>
  <si>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</si>
  <si>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</si>
  <si>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</si>
  <si>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</si>
  <si>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</si>
  <si>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</si>
  <si>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</si>
  <si>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</si>
  <si>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</si>
  <si>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</si>
  <si>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</si>
  <si>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</si>
  <si>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</si>
  <si>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</si>
  <si>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</si>
  <si>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</si>
  <si>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</si>
  <si>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</si>
  <si>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</si>
  <si>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</si>
  <si>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</si>
  <si>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</si>
  <si>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</si>
  <si>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</si>
  <si>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</si>
  <si>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</si>
  <si>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</si>
  <si>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</si>
  <si>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</si>
  <si>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</si>
  <si>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</si>
  <si>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</si>
  <si>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</si>
  <si>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</si>
  <si>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</si>
  <si>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</si>
  <si>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</si>
  <si>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</si>
  <si>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</si>
  <si>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</si>
  <si>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</si>
  <si>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</si>
  <si>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</si>
  <si>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</si>
  <si>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</si>
  <si>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</si>
  <si>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</si>
  <si>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</si>
  <si>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</si>
  <si>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</si>
  <si>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</si>
  <si>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</si>
  <si>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</si>
  <si>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</si>
  <si>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</si>
  <si>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</si>
  <si>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</si>
  <si>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</si>
  <si>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</si>
  <si>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</si>
  <si>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</si>
  <si>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</si>
  <si>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</si>
  <si>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</si>
  <si>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</si>
  <si>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</si>
  <si>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</si>
  <si>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</si>
  <si>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</si>
  <si>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</si>
  <si>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</si>
  <si>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</si>
  <si>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</si>
  <si>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</si>
  <si>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</si>
  <si>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</si>
  <si>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</si>
  <si>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</si>
  <si>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</si>
  <si>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</si>
  <si>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</si>
  <si>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</si>
  <si>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</si>
  <si>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</si>
  <si>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</si>
  <si>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</si>
  <si>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</si>
  <si>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</si>
  <si>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</si>
  <si>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</si>
  <si>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</si>
  <si>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</si>
  <si>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</si>
  <si>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</si>
  <si>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</si>
  <si>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</si>
  <si>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</si>
  <si>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</si>
  <si>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</si>
  <si>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</si>
  <si>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</si>
  <si>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</si>
  <si>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</si>
  <si>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</si>
  <si>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</si>
  <si>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</si>
  <si>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</si>
  <si>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</si>
  <si>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</si>
  <si>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</si>
  <si>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</si>
  <si>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</si>
  <si>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</si>
  <si>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</si>
  <si>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</si>
  <si>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</si>
  <si>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</si>
  <si>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</si>
  <si>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</si>
  <si>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</si>
  <si>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</si>
  <si>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</si>
  <si>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</si>
  <si>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</si>
  <si>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</si>
  <si>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</si>
  <si>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</si>
  <si>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</si>
  <si>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</si>
  <si>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</si>
  <si>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</si>
  <si>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</si>
  <si>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</si>
  <si>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</si>
  <si>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</si>
  <si>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</si>
  <si>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</si>
  <si>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</si>
  <si>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</si>
  <si>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</si>
  <si>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</si>
  <si>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</si>
  <si>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</si>
  <si>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</si>
  <si>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</si>
  <si>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</si>
  <si>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</si>
  <si>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</si>
  <si>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</si>
  <si>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</si>
  <si>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</si>
  <si>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</si>
  <si>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</si>
  <si>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</si>
  <si>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</si>
  <si>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</si>
  <si>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</si>
  <si>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</si>
  <si>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</si>
  <si>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</si>
  <si>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</si>
  <si>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</si>
  <si>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</si>
  <si>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</si>
  <si>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</si>
  <si>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</si>
  <si>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</si>
  <si>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</si>
  <si>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</si>
  <si>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</si>
  <si>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</si>
  <si>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</si>
  <si>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</si>
  <si>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</si>
  <si>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</si>
  <si>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</si>
  <si>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</si>
  <si>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</si>
  <si>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</si>
  <si>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</si>
  <si>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</si>
  <si>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</si>
  <si>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</si>
  <si>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</si>
  <si>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</si>
  <si>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</si>
  <si>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</si>
  <si>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</si>
  <si>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</si>
  <si>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</si>
  <si>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</si>
  <si>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</si>
  <si>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</si>
  <si>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</si>
  <si>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</si>
  <si>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</si>
  <si>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</si>
  <si>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</si>
  <si>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</si>
  <si>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</si>
  <si>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</si>
  <si>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</si>
  <si>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</si>
  <si>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</si>
  <si>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</si>
  <si>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</si>
  <si>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</si>
  <si>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</si>
  <si>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</si>
  <si>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</si>
  <si>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</si>
  <si>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</si>
  <si>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</si>
  <si>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</si>
  <si>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</si>
  <si>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</si>
  <si>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</si>
  <si>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</si>
  <si>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</si>
  <si>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</si>
  <si>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</si>
  <si>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</si>
  <si>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</si>
  <si>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</si>
  <si>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</si>
  <si>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</si>
  <si>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</si>
  <si>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</si>
  <si>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</si>
  <si>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</si>
  <si>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</si>
  <si>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</si>
  <si>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</si>
  <si>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</si>
  <si>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</si>
  <si>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</si>
  <si>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</si>
  <si>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</si>
  <si>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</si>
  <si>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</si>
  <si>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</si>
  <si>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</si>
  <si>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</si>
  <si>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</si>
  <si>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</si>
  <si>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</si>
  <si>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</si>
  <si>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</si>
  <si>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</si>
  <si>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</si>
  <si>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</si>
  <si>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</si>
  <si>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</si>
  <si>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</si>
  <si>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</si>
  <si>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</si>
  <si>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</si>
  <si>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</si>
  <si>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</si>
  <si>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</si>
  <si>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</si>
  <si>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</si>
  <si>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</si>
  <si>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</si>
  <si>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</si>
  <si>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</si>
  <si>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</si>
  <si>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</si>
  <si>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</si>
  <si>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</si>
  <si>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</si>
  <si>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</si>
  <si>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</si>
  <si>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</si>
  <si>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</si>
  <si>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</si>
  <si>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</si>
  <si>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</si>
  <si>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</si>
  <si>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</si>
  <si>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</si>
  <si>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</si>
  <si>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</si>
  <si>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</si>
  <si>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</si>
  <si>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</si>
  <si>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</si>
  <si>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</si>
  <si>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</si>
  <si>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</si>
  <si>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</si>
  <si>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</si>
  <si>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</si>
  <si>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</si>
  <si>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</si>
  <si>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</si>
  <si>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</si>
  <si>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</si>
  <si>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</si>
  <si>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</si>
  <si>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</si>
  <si>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</si>
  <si>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</si>
  <si>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</si>
  <si>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</si>
  <si>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</si>
  <si>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</si>
  <si>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</si>
  <si>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</si>
  <si>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</si>
  <si>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</si>
  <si>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</si>
  <si>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</si>
  <si>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</si>
  <si>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</si>
  <si>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</si>
  <si>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</si>
  <si>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</si>
  <si>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</si>
  <si>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</si>
  <si>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</si>
  <si>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</si>
  <si>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</si>
  <si>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</si>
  <si>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</si>
  <si>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</si>
  <si>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</si>
  <si>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</si>
  <si>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</si>
  <si>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</si>
  <si>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</si>
  <si>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</si>
  <si>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</si>
  <si>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</si>
  <si>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</si>
  <si>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</si>
  <si>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</si>
  <si>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</si>
  <si>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</si>
  <si>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</si>
  <si>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</si>
  <si>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</si>
  <si>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</si>
  <si>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</si>
  <si>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</si>
  <si>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</si>
  <si>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</si>
  <si>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</si>
  <si>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</si>
  <si>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</si>
  <si>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</si>
  <si>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</si>
  <si>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</si>
  <si>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</si>
  <si>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</si>
  <si>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</si>
  <si>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</si>
  <si>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</si>
  <si>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</si>
  <si>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</si>
  <si>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</si>
  <si>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</si>
  <si>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</si>
  <si>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</si>
  <si>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</si>
  <si>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</si>
  <si>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</si>
  <si>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</si>
  <si>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</si>
  <si>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</si>
  <si>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</si>
  <si>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</si>
  <si>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</si>
  <si>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</si>
  <si>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</si>
  <si>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</si>
  <si>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</si>
  <si>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</si>
  <si>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</si>
  <si>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</si>
  <si>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</si>
  <si>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</si>
  <si>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</si>
  <si>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</si>
  <si>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</si>
  <si>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</si>
  <si>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</si>
  <si>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</si>
  <si>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</si>
  <si>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</si>
  <si>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</si>
  <si>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</si>
  <si>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</si>
  <si>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</si>
  <si>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</si>
  <si>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</si>
  <si>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</si>
  <si>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</si>
  <si>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</si>
  <si>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</si>
  <si>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</si>
  <si>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</si>
  <si>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</si>
  <si>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</si>
  <si>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</si>
  <si>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</si>
  <si>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</si>
  <si>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</si>
  <si>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</si>
  <si>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</si>
  <si>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</si>
  <si>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</si>
  <si>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</si>
  <si>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</si>
  <si>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</si>
  <si>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</si>
  <si>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</si>
  <si>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</si>
  <si>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</si>
  <si>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</si>
  <si>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</si>
  <si>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</si>
  <si>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</si>
  <si>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</si>
  <si>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</si>
  <si>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</si>
  <si>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</si>
  <si>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</si>
  <si>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</si>
  <si>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</si>
  <si>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</si>
  <si>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</si>
  <si>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</si>
  <si>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</si>
  <si>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</si>
  <si>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</si>
  <si>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</si>
  <si>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</si>
  <si>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</si>
  <si>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</si>
  <si>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</si>
  <si>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</si>
  <si>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</si>
  <si>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</si>
  <si>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</si>
  <si>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</si>
  <si>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</si>
  <si>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</si>
  <si>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</si>
  <si>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</si>
  <si>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</si>
  <si>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</si>
  <si>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</si>
  <si>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</si>
  <si>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</si>
  <si>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</si>
  <si>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</si>
  <si>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</si>
  <si>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</si>
  <si>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</si>
  <si>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</si>
  <si>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</si>
  <si>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</si>
  <si>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</si>
  <si>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</si>
  <si>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</si>
  <si>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</si>
  <si>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</si>
  <si>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</si>
  <si>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</si>
  <si>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</si>
  <si>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</si>
  <si>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</si>
  <si>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</si>
  <si>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</si>
  <si>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</si>
  <si>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</si>
  <si>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</si>
  <si>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</si>
  <si>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</si>
  <si>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</si>
  <si>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</si>
  <si>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</si>
  <si>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</si>
  <si>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</si>
  <si>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</si>
  <si>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</si>
  <si>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</si>
  <si>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</si>
  <si>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</si>
  <si>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</si>
  <si>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</si>
  <si>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</si>
  <si>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</si>
  <si>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</si>
  <si>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</si>
  <si>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</si>
  <si>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</si>
  <si>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</si>
  <si>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</si>
  <si>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</si>
  <si>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</si>
  <si>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</si>
  <si>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</si>
  <si>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</si>
  <si>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</si>
  <si>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</si>
  <si>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</si>
  <si>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</si>
  <si>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</si>
  <si>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</si>
  <si>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</si>
  <si>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</si>
  <si>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</si>
  <si>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</si>
  <si>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</si>
  <si>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</si>
  <si>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</si>
  <si>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</si>
  <si>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</si>
  <si>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</si>
  <si>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</si>
  <si>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</si>
  <si>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</si>
  <si>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</si>
  <si>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</si>
  <si>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</si>
  <si>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</si>
  <si>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</si>
  <si>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</si>
  <si>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</si>
  <si>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</si>
  <si>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</si>
  <si>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</si>
  <si>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</si>
  <si>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</si>
  <si>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</si>
  <si>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</si>
  <si>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</si>
  <si>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</si>
  <si>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</si>
  <si>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</si>
  <si>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</si>
  <si>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</si>
  <si>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</si>
  <si>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</si>
  <si>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</si>
  <si>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</si>
  <si>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</si>
  <si>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</si>
  <si>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</si>
  <si>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</si>
  <si>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</si>
  <si>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</si>
  <si>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</si>
  <si>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</si>
  <si>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</si>
  <si>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</si>
  <si>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</si>
  <si>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</si>
  <si>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</si>
  <si>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</si>
  <si>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</si>
  <si>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</si>
  <si>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</si>
  <si>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</si>
  <si>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</si>
  <si>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</si>
  <si>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</si>
  <si>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</si>
  <si>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</si>
  <si>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</si>
  <si>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</si>
  <si>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</si>
  <si>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</si>
  <si>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</si>
  <si>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</si>
  <si>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</si>
  <si>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</si>
  <si>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</si>
  <si>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</si>
  <si>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</si>
  <si>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</si>
  <si>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</si>
  <si>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</si>
  <si>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</si>
  <si>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</si>
  <si>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</si>
  <si>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</si>
  <si>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</si>
  <si>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</si>
  <si>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</si>
  <si>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</si>
  <si>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</si>
  <si>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</si>
  <si>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</si>
  <si>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</si>
  <si>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</si>
  <si>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</si>
  <si>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</si>
  <si>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</si>
  <si>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</si>
  <si>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</si>
  <si>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</si>
  <si>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</si>
  <si>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</si>
  <si>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</si>
  <si>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</si>
  <si>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</si>
  <si>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</si>
  <si>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</si>
  <si>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</si>
  <si>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</si>
  <si>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</si>
  <si>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</si>
  <si>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</si>
  <si>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</si>
  <si>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</si>
  <si>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</si>
  <si>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</si>
  <si>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</si>
  <si>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</si>
  <si>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</si>
  <si>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</si>
  <si>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</si>
  <si>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</si>
  <si>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</si>
  <si>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</si>
  <si>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</si>
  <si>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</si>
  <si>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</si>
  <si>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</si>
  <si>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</si>
  <si>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</si>
  <si>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</si>
  <si>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</si>
  <si>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</si>
  <si>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</si>
  <si>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</si>
  <si>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</si>
  <si>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</si>
  <si>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</si>
  <si>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</si>
  <si>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</si>
  <si>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</si>
  <si>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</si>
  <si>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</si>
  <si>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</si>
  <si>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</si>
  <si>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</si>
  <si>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</si>
  <si>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</si>
  <si>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</si>
  <si>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</si>
  <si>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</si>
  <si>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</si>
  <si>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</si>
  <si>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</si>
  <si>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</si>
  <si>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</si>
  <si>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</si>
  <si>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</si>
  <si>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</si>
  <si>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</si>
  <si>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</si>
  <si>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</si>
  <si>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</si>
  <si>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</si>
  <si>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</si>
  <si>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</si>
  <si>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</si>
  <si>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</si>
  <si>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</si>
  <si>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</si>
  <si>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</si>
  <si>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</si>
  <si>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</si>
  <si>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</si>
  <si>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</si>
  <si>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</si>
  <si>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</si>
  <si>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</si>
  <si>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</si>
  <si>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</si>
  <si>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</si>
  <si>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</si>
  <si>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</si>
  <si>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</si>
  <si>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</si>
  <si>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</si>
  <si>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</si>
  <si>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</si>
  <si>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</si>
  <si>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</si>
  <si>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</si>
  <si>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</si>
  <si>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</si>
  <si>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</si>
  <si>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</si>
  <si>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</si>
  <si>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</si>
  <si>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</si>
  <si>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</si>
  <si>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</si>
  <si>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</si>
  <si>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</si>
  <si>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</si>
  <si>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</si>
  <si>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</si>
  <si>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</si>
  <si>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</si>
  <si>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</si>
  <si>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</si>
  <si>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</si>
  <si>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</si>
  <si>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</si>
  <si>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</si>
  <si>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</si>
  <si>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</si>
  <si>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</si>
  <si>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</si>
  <si>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</si>
  <si>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</si>
  <si>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</si>
  <si>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</si>
  <si>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</si>
  <si>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</si>
  <si>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</si>
  <si>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</si>
  <si>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</si>
  <si>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</si>
  <si>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</si>
  <si>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</si>
  <si>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</si>
  <si>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</si>
  <si>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</si>
  <si>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</si>
  <si>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</si>
  <si>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</si>
  <si>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</si>
  <si>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</si>
  <si>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</si>
  <si>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</si>
  <si>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</si>
  <si>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</si>
  <si>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</si>
  <si>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</si>
  <si>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</si>
  <si>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</si>
  <si>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</si>
  <si>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</si>
  <si>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</si>
  <si>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</si>
  <si>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</si>
  <si>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</si>
  <si>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</si>
  <si>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</si>
  <si>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</si>
  <si>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</si>
  <si>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</si>
  <si>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</si>
  <si>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</si>
  <si>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</si>
  <si>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</si>
  <si>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</si>
  <si>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</si>
  <si>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</si>
  <si>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</si>
  <si>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</si>
  <si>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</si>
  <si>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</si>
  <si>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</si>
  <si>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</si>
  <si>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</si>
  <si>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</si>
  <si>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</si>
  <si>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</si>
  <si>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</si>
  <si>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</si>
  <si>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</si>
  <si>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</si>
  <si>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</si>
  <si>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</si>
  <si>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</si>
  <si>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</si>
  <si>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</si>
  <si>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</si>
  <si>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</si>
  <si>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</si>
  <si>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</si>
  <si>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</si>
  <si>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</si>
  <si>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</si>
  <si>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</si>
  <si>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</si>
  <si>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</si>
  <si>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</si>
  <si>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</si>
  <si>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</si>
  <si>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</si>
  <si>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</si>
  <si>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</si>
  <si>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</si>
  <si>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</si>
  <si>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</si>
  <si>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</si>
  <si>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</si>
  <si>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</si>
  <si>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</si>
  <si>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</si>
  <si>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</si>
  <si>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</si>
  <si>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</si>
  <si>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</si>
  <si>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</si>
  <si>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</si>
  <si>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</si>
  <si>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</si>
  <si>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</si>
  <si>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</si>
  <si>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</si>
  <si>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</si>
  <si>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</si>
  <si>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</si>
  <si>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</si>
  <si>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</si>
  <si>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</si>
  <si>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</si>
  <si>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</si>
  <si>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</si>
  <si>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</si>
  <si>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</si>
  <si>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</si>
  <si>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</si>
  <si>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</si>
  <si>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</si>
  <si>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</si>
  <si>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</si>
  <si>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</si>
  <si>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</si>
  <si>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</si>
  <si>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</si>
  <si>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</si>
  <si>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</si>
  <si>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</si>
  <si>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</si>
  <si>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</si>
  <si>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</si>
  <si>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</si>
  <si>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</si>
  <si>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</si>
  <si>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</si>
  <si>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</si>
  <si>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</si>
  <si>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</si>
  <si>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</si>
  <si>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</si>
  <si>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</si>
  <si>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</si>
  <si>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</si>
  <si>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</si>
  <si>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</si>
  <si>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</si>
  <si>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</si>
  <si>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</si>
  <si>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</si>
  <si>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</si>
  <si>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</si>
  <si>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</si>
  <si>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</si>
  <si>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</si>
  <si>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</si>
  <si>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</si>
  <si>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</si>
  <si>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</si>
  <si>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</si>
  <si>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</si>
  <si>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</si>
  <si>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</si>
  <si>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</si>
  <si>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</si>
  <si>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</si>
  <si>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</si>
  <si>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</si>
  <si>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</si>
  <si>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</si>
  <si>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</si>
  <si>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</si>
  <si>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</si>
  <si>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</si>
  <si>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</si>
  <si>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</si>
  <si>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</si>
  <si>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</si>
  <si>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</si>
  <si>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</si>
  <si>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</si>
  <si>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</si>
  <si>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</si>
  <si>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</si>
  <si>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</si>
  <si>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</si>
  <si>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</si>
  <si>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</si>
  <si>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</si>
  <si>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</si>
  <si>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</si>
  <si>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</si>
  <si>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</si>
  <si>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</si>
  <si>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</si>
  <si>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</si>
  <si>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</si>
  <si>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</si>
  <si>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</si>
  <si>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</si>
  <si>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</si>
  <si>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</si>
  <si>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</si>
  <si>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</si>
  <si>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</si>
  <si>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</si>
  <si>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</si>
  <si>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</si>
  <si>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</si>
  <si>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</si>
  <si>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</si>
  <si>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</si>
  <si>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</si>
  <si>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</si>
  <si>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</si>
  <si>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</si>
  <si>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</si>
  <si>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</si>
  <si>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</si>
  <si>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</si>
  <si>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</si>
  <si>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</si>
  <si>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</si>
  <si>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</si>
  <si>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</si>
  <si>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</si>
  <si>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</si>
  <si>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</si>
  <si>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</si>
  <si>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</si>
  <si>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</si>
  <si>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</si>
  <si>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</si>
  <si>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</si>
  <si>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</si>
  <si>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</si>
  <si>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</si>
  <si>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</si>
  <si>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</si>
  <si>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</si>
  <si>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</si>
  <si>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</si>
  <si>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</si>
  <si>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</si>
  <si>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</si>
  <si>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</si>
  <si>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</si>
  <si>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</si>
  <si>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</si>
  <si>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</si>
  <si>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</si>
  <si>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</si>
  <si>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</si>
  <si>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</si>
  <si>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</si>
  <si>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</si>
  <si>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</si>
  <si>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</si>
  <si>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</si>
  <si>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</si>
  <si>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</si>
  <si>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</si>
  <si>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</si>
  <si>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</si>
  <si>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</si>
  <si>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</si>
  <si>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</si>
  <si>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</si>
  <si>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</si>
  <si>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</si>
  <si>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</si>
  <si>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</si>
  <si>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</si>
  <si>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</si>
  <si>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</si>
  <si>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</si>
  <si>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</si>
  <si>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</si>
  <si>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</si>
  <si>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</si>
  <si>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</si>
  <si>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</si>
  <si>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</si>
  <si>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</si>
  <si>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</si>
  <si>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</si>
  <si>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</si>
  <si>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</si>
  <si>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</si>
  <si>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</si>
  <si>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</si>
  <si>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</si>
  <si>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</si>
  <si>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</si>
  <si>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</si>
  <si>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</si>
  <si>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</si>
  <si>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</si>
  <si>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</si>
  <si>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</si>
  <si>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</si>
  <si>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</si>
  <si>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</si>
  <si>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</si>
  <si>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</si>
  <si>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</si>
  <si>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</si>
  <si>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</si>
  <si>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</si>
  <si>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</si>
  <si>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</si>
  <si>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</si>
  <si>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</si>
  <si>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</si>
  <si>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</si>
  <si>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</si>
  <si>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</si>
  <si>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</si>
  <si>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</si>
  <si>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</si>
  <si>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</si>
  <si>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</si>
  <si>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</si>
  <si>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</si>
  <si>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</si>
  <si>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</si>
  <si>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</si>
  <si>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</si>
  <si>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</si>
  <si>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</si>
  <si>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</si>
  <si>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</si>
  <si>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</si>
  <si>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</si>
  <si>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</si>
  <si>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</si>
  <si>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</si>
  <si>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</si>
  <si>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</si>
  <si>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</si>
  <si>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</si>
  <si>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</si>
  <si>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</si>
  <si>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</si>
  <si>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</si>
  <si>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</si>
  <si>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</si>
  <si>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</si>
  <si>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</si>
  <si>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</t>
  </si>
  <si>
    <t>Row Labels</t>
  </si>
  <si>
    <t>Grand Total</t>
  </si>
  <si>
    <t>(All)</t>
  </si>
  <si>
    <t>Count of outcomes</t>
  </si>
  <si>
    <t>Column Labels</t>
  </si>
  <si>
    <t>Date Created Conversion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</si>
  <si>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</si>
  <si>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</si>
  <si>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</si>
  <si>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</si>
  <si>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</si>
  <si>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</si>
  <si>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</si>
  <si>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</si>
  <si>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</si>
  <si>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</si>
  <si>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</si>
  <si>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</si>
  <si>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</si>
  <si>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</si>
  <si>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</si>
  <si>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</si>
  <si>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Pleadged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</si>
  <si>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</si>
  <si>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</si>
  <si>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</si>
  <si>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</si>
  <si>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</si>
  <si>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</si>
  <si>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</si>
  <si>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</si>
  <si>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</si>
  <si>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</si>
  <si>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</si>
  <si>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</si>
  <si>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</si>
  <si>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</si>
  <si>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Years2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</si>
  <si>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</si>
  <si>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</si>
  <si>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</si>
  <si>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</si>
  <si>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</si>
  <si>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</si>
  <si>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</si>
  <si>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</si>
  <si>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</si>
  <si>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</si>
  <si>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</si>
  <si>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</si>
  <si>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</si>
  <si>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</si>
  <si>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</si>
  <si>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</si>
  <si>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then 50000</t>
  </si>
  <si>
    <t>Number Successful</t>
  </si>
  <si>
    <t>40000 to 44999</t>
  </si>
  <si>
    <t>Sum of Percentage Failed</t>
  </si>
  <si>
    <t>Sum of Percentage Successful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</si>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</sst>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1"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date'!$B$6:$B$7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date'!$B$8:$B$20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E-458A-A886-D0BB09295737}"/>
            </c:ext>
          </c:extLst>
        </c:ser>
        <c:ser>
          <c:idx val="1"/>
          <c:order val="1"/>
          <c:tx>
            <c:strRef>
              <c:f>'Theater outcomes by launch date'!$C$6:$C$7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date'!$C$8:$C$20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E-458A-A886-D0BB09295737}"/>
            </c:ext>
          </c:extLst>
        </c:ser>
        <c:ser>
          <c:idx val="2"/>
          <c:order val="2"/>
          <c:tx>
            <c:strRef>
              <c:f>'Theater outcomes by launch date'!$D$6:$D$7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date'!$D$8:$D$20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2E-458A-A886-D0BB09295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04723872"/>
        <c:axId val="2004724704"/>
      </c:lineChart>
      <c:catAx>
        <c:axId val="2004723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24704"/>
        <c:crosses val="autoZero"/>
        <c:auto val="1"/>
        <c:lblAlgn val="ctr"/>
        <c:lblOffset val="100"/>
        <c:noMultiLvlLbl val="0"/>
      </c:catAx>
      <c:valAx>
        <c:axId val="200472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4723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Sheet1!$B$4:$B$16</c:f>
              <c:numCache>
                <c:formatCode>0.00%</c:formatCode>
                <c:ptCount val="12"/>
                <c:pt idx="0">
                  <c:v>0.69117647058823528</c:v>
                </c:pt>
                <c:pt idx="1">
                  <c:v>0.53205128205128205</c:v>
                </c:pt>
                <c:pt idx="2">
                  <c:v>0.54216867469879515</c:v>
                </c:pt>
                <c:pt idx="3">
                  <c:v>0.53521126760563376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9B-47CC-A2BC-97C2CBE0ADDB}"/>
            </c:ext>
          </c:extLst>
        </c:ser>
        <c:ser>
          <c:idx val="1"/>
          <c:order val="1"/>
          <c:tx>
            <c:strRef>
              <c:f>Sheet1!$C$3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Sheet1!$C$4:$C$16</c:f>
              <c:numCache>
                <c:formatCode>0.00%</c:formatCode>
                <c:ptCount val="12"/>
                <c:pt idx="0">
                  <c:v>0.30882352941176472</c:v>
                </c:pt>
                <c:pt idx="1">
                  <c:v>0.46794871794871795</c:v>
                </c:pt>
                <c:pt idx="2">
                  <c:v>0.45783132530120479</c:v>
                </c:pt>
                <c:pt idx="3">
                  <c:v>0.46478873239436619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9B-47CC-A2BC-97C2CBE0ADDB}"/>
            </c:ext>
          </c:extLst>
        </c:ser>
        <c:ser>
          <c:idx val="2"/>
          <c:order val="2"/>
          <c:tx>
            <c:strRef>
              <c:f>Sheet1!$D$3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Sheet1!$A$4:$A$16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Sheet1!$D$4:$D$16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9B-47CC-A2BC-97C2CBE0AD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0922576"/>
        <c:axId val="580922992"/>
      </c:lineChart>
      <c:catAx>
        <c:axId val="58092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22992"/>
        <c:crosses val="autoZero"/>
        <c:auto val="1"/>
        <c:lblAlgn val="ctr"/>
        <c:lblOffset val="100"/>
        <c:noMultiLvlLbl val="0"/>
      </c:catAx>
      <c:valAx>
        <c:axId val="58092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2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03-4F07-8AFB-3291DD1974C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03-4F07-8AFB-3291DD1974C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03-4F07-8AFB-3291DD1974C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03-4F07-8AFB-3291DD197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477200"/>
        <c:axId val="173484272"/>
      </c:barChart>
      <c:catAx>
        <c:axId val="173477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84272"/>
        <c:crosses val="autoZero"/>
        <c:auto val="1"/>
        <c:lblAlgn val="ctr"/>
        <c:lblOffset val="100"/>
        <c:noMultiLvlLbl val="0"/>
      </c:catAx>
      <c:valAx>
        <c:axId val="173484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477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7-4070-B7FC-1A28043EDC1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7-4070-B7FC-1A28043EDC1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7-4070-B7FC-1A28043EDC1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7-4070-B7FC-1A28043ED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13840"/>
        <c:axId val="165125072"/>
      </c:lineChart>
      <c:catAx>
        <c:axId val="16511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25072"/>
        <c:crosses val="autoZero"/>
        <c:auto val="1"/>
        <c:lblAlgn val="ctr"/>
        <c:lblOffset val="100"/>
        <c:noMultiLvlLbl val="0"/>
      </c:catAx>
      <c:valAx>
        <c:axId val="16512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1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CD-4C9D-A4C5-E2E5B7D2CCF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CD-4C9D-A4C5-E2E5B7D2CCF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CD-4C9D-A4C5-E2E5B7D2CCF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CD-4C9D-A4C5-E2E5B7D2CC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2339168"/>
        <c:axId val="2072350816"/>
      </c:barChart>
      <c:catAx>
        <c:axId val="2072339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50816"/>
        <c:crosses val="autoZero"/>
        <c:auto val="1"/>
        <c:lblAlgn val="ctr"/>
        <c:lblOffset val="100"/>
        <c:noMultiLvlLbl val="0"/>
      </c:catAx>
      <c:valAx>
        <c:axId val="20723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23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161925</xdr:colOff>
      <xdr:row>4</xdr:row>
      <xdr:rowOff>6350</xdr:rowOff>
    </xdr:from>
    <xdr:to>
      <xdr:col>10</xdr:col>
      <xdr:colOff>444500</xdr:colOff>
      <xdr:row>20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35B112-89E2-4990-8BA4-3391F86C5A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409575</xdr:colOff>
      <xdr:row>2</xdr:row>
      <xdr:rowOff>38100</xdr:rowOff>
    </xdr:from>
    <xdr:to>
      <xdr:col>12</xdr:col>
      <xdr:colOff>104775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0F15B5-A976-4C38-80A0-0DED9BC279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6350</xdr:rowOff>
    </xdr:from>
    <xdr:to>
      <xdr:col>12</xdr:col>
      <xdr:colOff>25400</xdr:colOff>
      <xdr:row>14</xdr:row>
      <xdr:rowOff>120650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860C6A-2FCF-4D6D-989B-561997946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4</xdr:row>
      <xdr:rowOff>107950</xdr:rowOff>
    </xdr:from>
    <xdr:to>
      <xdr:col>12</xdr:col>
      <xdr:colOff>234950</xdr:colOff>
      <xdr:row>17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219816-4D87-4DBD-940E-70A1498F4B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</xdr:row>
      <xdr:rowOff>82550</xdr:rowOff>
    </xdr:from>
    <xdr:to>
      <xdr:col>12</xdr:col>
      <xdr:colOff>234950</xdr:colOff>
      <xdr:row>16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2FB859-4B5B-4147-812D-565BA8261A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iah Sloan" refreshedDate="44482.464865856484" createdVersion="7" refreshedVersion="7" minRefreshableVersion="3" recordCount="4114" xr:uid="{68A7C64D-00CF-4917-9E16-EF7A5E3602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iah Sloan" refreshedDate="44482.499694675927" createdVersion="7" refreshedVersion="7" minRefreshableVersion="3" recordCount="4114" xr:uid="{E54082EF-6B47-41A2-A7AA-F1A39B75EA6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iah Sloan" refreshedDate="44484.414052199078" createdVersion="7" refreshedVersion="7" minRefreshableVersion="3" recordCount="4128" xr:uid="{C6F54BFF-5D0D-4935-AE82-DD9ED471C36F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iah Sloan" refreshedDate="44487.614372916665" createdVersion="7" refreshedVersion="7" minRefreshableVersion="3" recordCount="12" xr:uid="{D832D329-8EC5-43E9-9AAC-7B934C0A5D43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en 50000"/>
      </sharedItems>
    </cacheField>
    <cacheField name="Number Successful" numFmtId="0">
      <sharedItems containsSemiMixedTypes="0" containsString="0" containsNumber="1" containsInteger="1" minValue="0" maxValue="166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312"/>
    </cacheField>
    <cacheField name="Percentage Successful" numFmtId="10">
      <sharedItems containsSemiMixedTypes="0" containsString="0" containsNumber="1" minValue="0" maxValue="0.69117647058823528" count="11">
        <n v="0.69117647058823528"/>
        <n v="0.53205128205128205"/>
        <n v="0.54216867469879515"/>
        <n v="0.53521126760563376"/>
        <n v="0.5"/>
        <n v="0.45"/>
        <n v="0.2"/>
        <n v="0.27272727272727271"/>
        <n v="0.66666666666666663"/>
        <n v="0"/>
        <n v="0.125"/>
      </sharedItems>
    </cacheField>
    <cacheField name="Percentage Failed" numFmtId="10">
      <sharedItems containsSemiMixedTypes="0" containsString="0" containsNumber="1" minValue="0.30882352941176472" maxValue="1" count="11">
        <n v="0.30882352941176472"/>
        <n v="0.46794871794871795"/>
        <n v="0.45783132530120479"/>
        <n v="0.46478873239436619"/>
        <n v="0.5"/>
        <n v="0.55000000000000004"/>
        <n v="0.8"/>
        <n v="0.72727272727272729"/>
        <n v="0.33333333333333331"/>
        <n v="1"/>
        <n v="0.875"/>
      </sharedItems>
    </cacheField>
    <cacheField name="Percentage Canceled" numFmtId="1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  <r>
    <m/>
    <m/>
    <m/>
    <m/>
    <m/>
    <x v="4"/>
    <x v="21"/>
    <m/>
    <m/>
    <m/>
    <m/>
    <m/>
    <m/>
    <x v="41"/>
    <m/>
    <m/>
    <x v="9"/>
    <m/>
    <x v="4114"/>
    <m/>
    <x v="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63"/>
    <n v="0"/>
    <n v="204"/>
    <x v="0"/>
    <x v="0"/>
    <x v="0"/>
  </r>
  <r>
    <x v="1"/>
    <n v="166"/>
    <n v="146"/>
    <n v="0"/>
    <n v="312"/>
    <x v="1"/>
    <x v="1"/>
    <x v="0"/>
  </r>
  <r>
    <x v="2"/>
    <n v="90"/>
    <n v="76"/>
    <n v="0"/>
    <n v="166"/>
    <x v="2"/>
    <x v="2"/>
    <x v="0"/>
  </r>
  <r>
    <x v="3"/>
    <n v="38"/>
    <n v="33"/>
    <n v="0"/>
    <n v="71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4"/>
    <n v="0"/>
    <n v="16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43204-C15C-410A-A48E-80E4E33D23E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6:E20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2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2D9B56-616A-4A66-BE10-53EFC8CACAB2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0" showAll="0">
      <items count="12">
        <item x="9"/>
        <item x="10"/>
        <item x="6"/>
        <item x="7"/>
        <item x="5"/>
        <item x="4"/>
        <item x="1"/>
        <item x="3"/>
        <item x="2"/>
        <item x="8"/>
        <item x="0"/>
        <item t="default"/>
      </items>
    </pivotField>
    <pivotField dataField="1" numFmtId="10" showAll="0">
      <items count="12">
        <item x="0"/>
        <item x="8"/>
        <item x="2"/>
        <item x="3"/>
        <item x="1"/>
        <item x="4"/>
        <item x="5"/>
        <item x="7"/>
        <item x="6"/>
        <item x="10"/>
        <item x="9"/>
        <item t="default"/>
      </items>
    </pivotField>
    <pivotField dataField="1" numFmtId="10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1">
    <format dxfId="0">
      <pivotArea outline="0" collapsedLevelsAreSubtotals="1" fieldPosition="0"/>
    </format>
  </format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EB583-9E8C-4B8A-9C4A-2D3D0B7E09E5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3EC6CD-8884-4446-8D91-29BC7258DAA7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24F0A-CE46-407A-A1B0-FAB4C1A26C4E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5B5DFF-965C-428E-8ADF-68F181A3C2F1}">
  <sheetPr codeName="Sheet1"/>
  <dimension ref="A3:E20"/>
  <sheetViews>
    <sheetView workbookViewId="0">
      <selection activeCell="H24" sqref="H24"/>
    </sheetView>
  </sheetViews>
  <sheetFormatPr defaultRowHeight="14.5" x14ac:dyDescent="0.35"/>
  <cols>
    <col min="1" max="1" width="17" bestFit="1" customWidth="1"/>
    <col min="2" max="2" width="15.1796875" customWidth="1"/>
    <col min="3" max="3" width="5.453125" bestFit="1" customWidth="1"/>
    <col min="4" max="4" width="8.08984375" bestFit="1" customWidth="1"/>
    <col min="5" max="7" width="10.81640625" bestFit="1" customWidth="1"/>
    <col min="8" max="8" width="13.81640625" bestFit="1" customWidth="1"/>
    <col min="9" max="9" width="11.81640625" bestFit="1" customWidth="1"/>
    <col min="10" max="10" width="13.81640625" bestFit="1" customWidth="1"/>
    <col min="11" max="11" width="10.54296875" bestFit="1" customWidth="1"/>
    <col min="12" max="12" width="18.6328125" bestFit="1" customWidth="1"/>
    <col min="13" max="13" width="15.36328125" bestFit="1" customWidth="1"/>
    <col min="14" max="14" width="5.81640625" bestFit="1" customWidth="1"/>
    <col min="15" max="17" width="6.81640625" bestFit="1" customWidth="1"/>
    <col min="18" max="18" width="7.81640625" bestFit="1" customWidth="1"/>
    <col min="19" max="19" width="6.81640625" bestFit="1" customWidth="1"/>
    <col min="20" max="20" width="5.81640625" bestFit="1" customWidth="1"/>
    <col min="21" max="21" width="10.1796875" bestFit="1" customWidth="1"/>
    <col min="22" max="22" width="6.81640625" bestFit="1" customWidth="1"/>
    <col min="23" max="23" width="8.36328125" bestFit="1" customWidth="1"/>
    <col min="24" max="24" width="11" bestFit="1" customWidth="1"/>
    <col min="25" max="25" width="5.81640625" bestFit="1" customWidth="1"/>
    <col min="26" max="29" width="6.81640625" bestFit="1" customWidth="1"/>
    <col min="30" max="30" width="7.81640625" bestFit="1" customWidth="1"/>
    <col min="31" max="32" width="6.81640625" bestFit="1" customWidth="1"/>
    <col min="33" max="33" width="14" bestFit="1" customWidth="1"/>
    <col min="34" max="34" width="8.54296875" bestFit="1" customWidth="1"/>
    <col min="35" max="35" width="11.453125" bestFit="1" customWidth="1"/>
    <col min="36" max="36" width="10.81640625" bestFit="1" customWidth="1"/>
    <col min="37" max="37" width="9.1796875" bestFit="1" customWidth="1"/>
    <col min="38" max="38" width="9.54296875" bestFit="1" customWidth="1"/>
    <col min="39" max="39" width="8.54296875" bestFit="1" customWidth="1"/>
    <col min="40" max="40" width="11.453125" bestFit="1" customWidth="1"/>
    <col min="41" max="41" width="10.81640625" bestFit="1" customWidth="1"/>
  </cols>
  <sheetData>
    <row r="3" spans="1:5" x14ac:dyDescent="0.35">
      <c r="A3" s="13" t="s">
        <v>8359</v>
      </c>
      <c r="B3" t="s">
        <v>8315</v>
      </c>
    </row>
    <row r="4" spans="1:5" x14ac:dyDescent="0.35">
      <c r="A4" s="13" t="s">
        <v>8397</v>
      </c>
      <c r="B4" t="s">
        <v>8362</v>
      </c>
    </row>
    <row r="6" spans="1:5" x14ac:dyDescent="0.35">
      <c r="A6" s="13" t="s">
        <v>8363</v>
      </c>
      <c r="B6" s="13" t="s">
        <v>8364</v>
      </c>
    </row>
    <row r="7" spans="1:5" x14ac:dyDescent="0.35">
      <c r="A7" s="13" t="s">
        <v>8360</v>
      </c>
      <c r="B7" t="s">
        <v>8218</v>
      </c>
      <c r="C7" t="s">
        <v>8220</v>
      </c>
      <c r="D7" t="s">
        <v>8219</v>
      </c>
      <c r="E7" t="s">
        <v>8361</v>
      </c>
    </row>
    <row r="8" spans="1:5" x14ac:dyDescent="0.35">
      <c r="A8" s="14" t="s">
        <v>8373</v>
      </c>
      <c r="B8" s="10">
        <v>56</v>
      </c>
      <c r="C8" s="10">
        <v>33</v>
      </c>
      <c r="D8" s="10">
        <v>7</v>
      </c>
      <c r="E8" s="10">
        <v>96</v>
      </c>
    </row>
    <row r="9" spans="1:5" x14ac:dyDescent="0.35">
      <c r="A9" s="14" t="s">
        <v>8374</v>
      </c>
      <c r="B9" s="10">
        <v>71</v>
      </c>
      <c r="C9" s="10">
        <v>39</v>
      </c>
      <c r="D9" s="10">
        <v>3</v>
      </c>
      <c r="E9" s="10">
        <v>113</v>
      </c>
    </row>
    <row r="10" spans="1:5" x14ac:dyDescent="0.35">
      <c r="A10" s="14" t="s">
        <v>8375</v>
      </c>
      <c r="B10" s="10">
        <v>56</v>
      </c>
      <c r="C10" s="10">
        <v>33</v>
      </c>
      <c r="D10" s="10">
        <v>3</v>
      </c>
      <c r="E10" s="10">
        <v>92</v>
      </c>
    </row>
    <row r="11" spans="1:5" x14ac:dyDescent="0.35">
      <c r="A11" s="14" t="s">
        <v>8376</v>
      </c>
      <c r="B11" s="10">
        <v>71</v>
      </c>
      <c r="C11" s="10">
        <v>40</v>
      </c>
      <c r="D11" s="10">
        <v>2</v>
      </c>
      <c r="E11" s="10">
        <v>113</v>
      </c>
    </row>
    <row r="12" spans="1:5" x14ac:dyDescent="0.35">
      <c r="A12" s="14" t="s">
        <v>8367</v>
      </c>
      <c r="B12" s="10">
        <v>111</v>
      </c>
      <c r="C12" s="10">
        <v>52</v>
      </c>
      <c r="D12" s="10">
        <v>3</v>
      </c>
      <c r="E12" s="10">
        <v>166</v>
      </c>
    </row>
    <row r="13" spans="1:5" x14ac:dyDescent="0.35">
      <c r="A13" s="14" t="s">
        <v>8377</v>
      </c>
      <c r="B13" s="10">
        <v>100</v>
      </c>
      <c r="C13" s="10">
        <v>49</v>
      </c>
      <c r="D13" s="10">
        <v>4</v>
      </c>
      <c r="E13" s="10">
        <v>153</v>
      </c>
    </row>
    <row r="14" spans="1:5" x14ac:dyDescent="0.35">
      <c r="A14" s="14" t="s">
        <v>8368</v>
      </c>
      <c r="B14" s="10">
        <v>87</v>
      </c>
      <c r="C14" s="10">
        <v>50</v>
      </c>
      <c r="D14" s="10">
        <v>1</v>
      </c>
      <c r="E14" s="10">
        <v>138</v>
      </c>
    </row>
    <row r="15" spans="1:5" x14ac:dyDescent="0.35">
      <c r="A15" s="14" t="s">
        <v>8369</v>
      </c>
      <c r="B15" s="10">
        <v>72</v>
      </c>
      <c r="C15" s="10">
        <v>47</v>
      </c>
      <c r="D15" s="10">
        <v>4</v>
      </c>
      <c r="E15" s="10">
        <v>123</v>
      </c>
    </row>
    <row r="16" spans="1:5" x14ac:dyDescent="0.35">
      <c r="A16" s="14" t="s">
        <v>8370</v>
      </c>
      <c r="B16" s="10">
        <v>59</v>
      </c>
      <c r="C16" s="10">
        <v>34</v>
      </c>
      <c r="D16" s="10">
        <v>4</v>
      </c>
      <c r="E16" s="10">
        <v>97</v>
      </c>
    </row>
    <row r="17" spans="1:5" x14ac:dyDescent="0.35">
      <c r="A17" s="14" t="s">
        <v>8371</v>
      </c>
      <c r="B17" s="10">
        <v>65</v>
      </c>
      <c r="C17" s="10">
        <v>50</v>
      </c>
      <c r="D17" s="10"/>
      <c r="E17" s="10">
        <v>115</v>
      </c>
    </row>
    <row r="18" spans="1:5" x14ac:dyDescent="0.35">
      <c r="A18" s="14" t="s">
        <v>8372</v>
      </c>
      <c r="B18" s="10">
        <v>54</v>
      </c>
      <c r="C18" s="10">
        <v>31</v>
      </c>
      <c r="D18" s="10">
        <v>3</v>
      </c>
      <c r="E18" s="10">
        <v>88</v>
      </c>
    </row>
    <row r="19" spans="1:5" x14ac:dyDescent="0.35">
      <c r="A19" s="14" t="s">
        <v>8378</v>
      </c>
      <c r="B19" s="10">
        <v>37</v>
      </c>
      <c r="C19" s="10">
        <v>35</v>
      </c>
      <c r="D19" s="10">
        <v>3</v>
      </c>
      <c r="E19" s="10">
        <v>75</v>
      </c>
    </row>
    <row r="20" spans="1:5" x14ac:dyDescent="0.35">
      <c r="A20" s="14" t="s">
        <v>8361</v>
      </c>
      <c r="B20" s="10">
        <v>839</v>
      </c>
      <c r="C20" s="10">
        <v>493</v>
      </c>
      <c r="D20" s="10">
        <v>37</v>
      </c>
      <c r="E20" s="10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7883D-E20F-4C1C-9F54-86638326C5F2}">
  <sheetPr codeName="Sheet11"/>
  <dimension ref="A3:D16"/>
  <sheetViews>
    <sheetView workbookViewId="0">
      <selection activeCell="F21" sqref="F21"/>
    </sheetView>
  </sheetViews>
  <sheetFormatPr defaultRowHeight="14.5" x14ac:dyDescent="0.35"/>
  <cols>
    <col min="1" max="1" width="17.08984375" bestFit="1" customWidth="1"/>
    <col min="2" max="2" width="25.7265625" bestFit="1" customWidth="1"/>
    <col min="3" max="3" width="22.08984375" bestFit="1" customWidth="1"/>
    <col min="4" max="4" width="24.7265625" bestFit="1" customWidth="1"/>
  </cols>
  <sheetData>
    <row r="3" spans="1:4" x14ac:dyDescent="0.35">
      <c r="A3" s="13" t="s">
        <v>8360</v>
      </c>
      <c r="B3" t="s">
        <v>8418</v>
      </c>
      <c r="C3" t="s">
        <v>8417</v>
      </c>
      <c r="D3" t="s">
        <v>8419</v>
      </c>
    </row>
    <row r="4" spans="1:4" x14ac:dyDescent="0.35">
      <c r="A4" s="14" t="s">
        <v>8404</v>
      </c>
      <c r="B4" s="19">
        <v>0.69117647058823528</v>
      </c>
      <c r="C4" s="19">
        <v>0.30882352941176472</v>
      </c>
      <c r="D4" s="19">
        <v>0</v>
      </c>
    </row>
    <row r="5" spans="1:4" x14ac:dyDescent="0.35">
      <c r="A5" s="14" t="s">
        <v>8405</v>
      </c>
      <c r="B5" s="19">
        <v>0.53205128205128205</v>
      </c>
      <c r="C5" s="19">
        <v>0.46794871794871795</v>
      </c>
      <c r="D5" s="19">
        <v>0</v>
      </c>
    </row>
    <row r="6" spans="1:4" x14ac:dyDescent="0.35">
      <c r="A6" s="14" t="s">
        <v>8406</v>
      </c>
      <c r="B6" s="19">
        <v>0.54216867469879515</v>
      </c>
      <c r="C6" s="19">
        <v>0.45783132530120479</v>
      </c>
      <c r="D6" s="19">
        <v>0</v>
      </c>
    </row>
    <row r="7" spans="1:4" x14ac:dyDescent="0.35">
      <c r="A7" s="14" t="s">
        <v>8407</v>
      </c>
      <c r="B7" s="19">
        <v>0.53521126760563376</v>
      </c>
      <c r="C7" s="19">
        <v>0.46478873239436619</v>
      </c>
      <c r="D7" s="19">
        <v>0</v>
      </c>
    </row>
    <row r="8" spans="1:4" x14ac:dyDescent="0.35">
      <c r="A8" s="14" t="s">
        <v>8408</v>
      </c>
      <c r="B8" s="19">
        <v>0.5</v>
      </c>
      <c r="C8" s="19">
        <v>0.5</v>
      </c>
      <c r="D8" s="19">
        <v>0</v>
      </c>
    </row>
    <row r="9" spans="1:4" x14ac:dyDescent="0.35">
      <c r="A9" s="14" t="s">
        <v>8409</v>
      </c>
      <c r="B9" s="19">
        <v>0.45</v>
      </c>
      <c r="C9" s="19">
        <v>0.55000000000000004</v>
      </c>
      <c r="D9" s="19">
        <v>0</v>
      </c>
    </row>
    <row r="10" spans="1:4" x14ac:dyDescent="0.35">
      <c r="A10" s="14" t="s">
        <v>8410</v>
      </c>
      <c r="B10" s="19">
        <v>0.2</v>
      </c>
      <c r="C10" s="19">
        <v>0.8</v>
      </c>
      <c r="D10" s="19">
        <v>0</v>
      </c>
    </row>
    <row r="11" spans="1:4" x14ac:dyDescent="0.35">
      <c r="A11" s="14" t="s">
        <v>8411</v>
      </c>
      <c r="B11" s="19">
        <v>0.27272727272727271</v>
      </c>
      <c r="C11" s="19">
        <v>0.72727272727272729</v>
      </c>
      <c r="D11" s="19">
        <v>0</v>
      </c>
    </row>
    <row r="12" spans="1:4" x14ac:dyDescent="0.35">
      <c r="A12" s="14" t="s">
        <v>8412</v>
      </c>
      <c r="B12" s="19">
        <v>0.66666666666666663</v>
      </c>
      <c r="C12" s="19">
        <v>0.33333333333333331</v>
      </c>
      <c r="D12" s="19">
        <v>0</v>
      </c>
    </row>
    <row r="13" spans="1:4" x14ac:dyDescent="0.35">
      <c r="A13" s="14" t="s">
        <v>8416</v>
      </c>
      <c r="B13" s="19">
        <v>0.66666666666666663</v>
      </c>
      <c r="C13" s="19">
        <v>0.33333333333333331</v>
      </c>
      <c r="D13" s="19">
        <v>0</v>
      </c>
    </row>
    <row r="14" spans="1:4" x14ac:dyDescent="0.35">
      <c r="A14" s="14" t="s">
        <v>8413</v>
      </c>
      <c r="B14" s="19">
        <v>0</v>
      </c>
      <c r="C14" s="19">
        <v>1</v>
      </c>
      <c r="D14" s="19">
        <v>0</v>
      </c>
    </row>
    <row r="15" spans="1:4" x14ac:dyDescent="0.35">
      <c r="A15" s="14" t="s">
        <v>8414</v>
      </c>
      <c r="B15" s="19">
        <v>0.125</v>
      </c>
      <c r="C15" s="19">
        <v>0.875</v>
      </c>
      <c r="D15" s="19">
        <v>0</v>
      </c>
    </row>
    <row r="16" spans="1:4" x14ac:dyDescent="0.35">
      <c r="A16" s="14" t="s">
        <v>8361</v>
      </c>
      <c r="B16" s="19">
        <v>5.181668301004553</v>
      </c>
      <c r="C16" s="19">
        <v>6.818331698995447</v>
      </c>
      <c r="D16" s="19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E6B8B-9A3F-48A7-BD99-762B76F44109}">
  <sheetPr codeName="Sheet2"/>
  <dimension ref="A1:H13"/>
  <sheetViews>
    <sheetView workbookViewId="0">
      <selection sqref="A1:H13"/>
    </sheetView>
  </sheetViews>
  <sheetFormatPr defaultRowHeight="14.5" x14ac:dyDescent="0.35"/>
  <cols>
    <col min="1" max="1" width="21" customWidth="1"/>
    <col min="2" max="2" width="16.08984375" customWidth="1"/>
    <col min="3" max="3" width="21.1796875" customWidth="1"/>
    <col min="4" max="4" width="15.1796875" customWidth="1"/>
    <col min="5" max="5" width="13" customWidth="1"/>
    <col min="6" max="6" width="19" style="19" customWidth="1"/>
    <col min="7" max="7" width="15.54296875" style="19" customWidth="1"/>
    <col min="8" max="8" width="18" style="19" customWidth="1"/>
  </cols>
  <sheetData>
    <row r="1" spans="1:8" x14ac:dyDescent="0.35">
      <c r="A1" t="s">
        <v>8381</v>
      </c>
      <c r="B1" t="s">
        <v>8415</v>
      </c>
      <c r="C1" t="s">
        <v>8398</v>
      </c>
      <c r="D1" t="s">
        <v>8399</v>
      </c>
      <c r="E1" t="s">
        <v>8400</v>
      </c>
      <c r="F1" s="19" t="s">
        <v>8401</v>
      </c>
      <c r="G1" s="19" t="s">
        <v>8402</v>
      </c>
      <c r="H1" s="19" t="s">
        <v>8403</v>
      </c>
    </row>
    <row r="2" spans="1:8" x14ac:dyDescent="0.35">
      <c r="A2" t="s">
        <v>8404</v>
      </c>
      <c r="B2">
        <f>COUNTIFS(KickStarter!$D:$D,"&lt;1000",KickStarter!$F:$F,"Successful",KickStarter!$R:$R,"plays")</f>
        <v>141</v>
      </c>
      <c r="C2">
        <f>COUNTIFS(KickStarter!$D:D,"&lt;=1000",KickStarter!$F:$F,"Failed",KickStarter!$R:$R,"plays")</f>
        <v>63</v>
      </c>
      <c r="D2">
        <f>COUNTIFS(KickStarter!$D:D,"&lt;=1000",KickStarter!$F:$F,"canceled",KickStarter!$R:$R,"Plays")</f>
        <v>0</v>
      </c>
      <c r="E2">
        <f>SUM(B2:C2:D2)</f>
        <v>204</v>
      </c>
      <c r="F2" s="19">
        <f>B2/E2</f>
        <v>0.69117647058823528</v>
      </c>
      <c r="G2" s="19">
        <f>C2/E2</f>
        <v>0.30882352941176472</v>
      </c>
      <c r="H2" s="19">
        <f>D2/E2</f>
        <v>0</v>
      </c>
    </row>
    <row r="3" spans="1:8" x14ac:dyDescent="0.35">
      <c r="A3" t="s">
        <v>8405</v>
      </c>
      <c r="B3">
        <f>COUNTIFS(KickStarter!$D:D,"&gt;=1000",KickStarter!$F:$F,"Successful",KickStarter!$D:$D,"&gt;=4999",KickStarter!$R:$R,"plays")</f>
        <v>166</v>
      </c>
      <c r="C3">
        <f>COUNTIFS(KickStarter!$D:D,"&gt;=1000",KickStarter!$D:$D,"&lt;=4999",KickStarter!$F:$F,"Failed",KickStarter!$R:$R,"plays")</f>
        <v>146</v>
      </c>
      <c r="D3">
        <f>COUNTIFS(KickStarter!$D:D,"&gt;=1000",KickStarter!$D:$D,"&lt;=4999",KickStarter!$F:$F,"Canceled",KickStarter!$R:$R,"Plays")</f>
        <v>0</v>
      </c>
      <c r="E3">
        <f>SUM(B3:C3:D3)</f>
        <v>312</v>
      </c>
      <c r="F3" s="19">
        <f t="shared" ref="F3:F13" si="0">B3/E3</f>
        <v>0.53205128205128205</v>
      </c>
      <c r="G3" s="19">
        <f t="shared" ref="G3:G13" si="1">C3/E3</f>
        <v>0.46794871794871795</v>
      </c>
      <c r="H3" s="19">
        <f t="shared" ref="H3:H13" si="2">D3/E3</f>
        <v>0</v>
      </c>
    </row>
    <row r="4" spans="1:8" x14ac:dyDescent="0.35">
      <c r="A4" t="s">
        <v>8406</v>
      </c>
      <c r="B4">
        <f>COUNTIFS(KickStarter!$D:D,"&gt;=5000",KickStarter!$F:$F,"Successful",KickStarter!$E:$E,"&lt;=9999",KickStarter!$R:$R,"plays")</f>
        <v>90</v>
      </c>
      <c r="C4">
        <f>COUNTIFS(KickStarter!$D:D,"&gt;=5000",KickStarter!$D:$D,"&lt;=9999",KickStarter!$F:$F,"Failed",KickStarter!$R:$R,"plays")</f>
        <v>76</v>
      </c>
      <c r="D4">
        <f>COUNTIFS(KickStarter!$D:D,"&gt;=5000",KickStarter!$D:$D,"&lt;=9999",KickStarter!$F:$F,"Canceled",KickStarter!$R:$R,"Plays")</f>
        <v>0</v>
      </c>
      <c r="E4">
        <f>SUM(B4:C4:D4)</f>
        <v>166</v>
      </c>
      <c r="F4" s="19">
        <f t="shared" si="0"/>
        <v>0.54216867469879515</v>
      </c>
      <c r="G4" s="19">
        <f t="shared" si="1"/>
        <v>0.45783132530120479</v>
      </c>
      <c r="H4" s="19">
        <f t="shared" si="2"/>
        <v>0</v>
      </c>
    </row>
    <row r="5" spans="1:8" x14ac:dyDescent="0.35">
      <c r="A5" t="s">
        <v>8407</v>
      </c>
      <c r="B5">
        <f>COUNTIFS(KickStarter!$D:D,"&gt;=10000",KickStarter!$F:$F,"Successful",KickStarter!$E:$E,"&lt;=14999",KickStarter!$R:$R,"Plays")</f>
        <v>38</v>
      </c>
      <c r="C5">
        <f>COUNTIFS(KickStarter!$D:D,"&gt;=10000",KickStarter!$F:$F,"Failed",KickStarter!$D:$D,"&lt;=14999",KickStarter!$R:$R,"plays")</f>
        <v>33</v>
      </c>
      <c r="D5">
        <f>COUNTIFS(KickStarter!$D:D,"&gt;=1000",KickStarter!$D:$D,"&lt;=14999",KickStarter!$F:$F,"Canceled",KickStarter!$R:$R,"Plays")</f>
        <v>0</v>
      </c>
      <c r="E5">
        <f>SUM(B5:C5:D5)</f>
        <v>71</v>
      </c>
      <c r="F5" s="19">
        <f t="shared" si="0"/>
        <v>0.53521126760563376</v>
      </c>
      <c r="G5" s="19">
        <f t="shared" si="1"/>
        <v>0.46478873239436619</v>
      </c>
      <c r="H5" s="19">
        <f t="shared" si="2"/>
        <v>0</v>
      </c>
    </row>
    <row r="6" spans="1:8" x14ac:dyDescent="0.35">
      <c r="A6" t="s">
        <v>8408</v>
      </c>
      <c r="B6">
        <f>COUNTIFS(KickStarter!$D:D,"&gt;=15000",KickStarter!$F:$F,"Successful",KickStarter!$D:$D,"&lt;=19999",KickStarter!$R:$R,"Plays")</f>
        <v>12</v>
      </c>
      <c r="C6">
        <f>COUNTIFS(KickStarter!$D:D,"&gt;=15000",KickStarter!$F:$F,"Failed",KickStarter!$D:$D,"&lt;=19999",KickStarter!$R:$R,"plays")</f>
        <v>12</v>
      </c>
      <c r="D6">
        <f>COUNTIFS(KickStarter!$D:D,"&gt;=150000",KickStarter!$D:$D,"&lt;=19999",KickStarter!$F:$F,"Canceled",KickStarter!$R:$R,"Plays")</f>
        <v>0</v>
      </c>
      <c r="E6">
        <f>SUM(B6:C6:D6)</f>
        <v>24</v>
      </c>
      <c r="F6" s="19">
        <f t="shared" si="0"/>
        <v>0.5</v>
      </c>
      <c r="G6" s="19">
        <f t="shared" si="1"/>
        <v>0.5</v>
      </c>
      <c r="H6" s="19">
        <f t="shared" si="2"/>
        <v>0</v>
      </c>
    </row>
    <row r="7" spans="1:8" x14ac:dyDescent="0.35">
      <c r="A7" t="s">
        <v>8409</v>
      </c>
      <c r="B7">
        <f>COUNTIFS(KickStarter!$D:D,"&gt;=20000",KickStarter!$F:$F,"Successful",KickStarter!$D:$D,"&lt;=24999",KickStarter!$R:$R,"Plays")</f>
        <v>9</v>
      </c>
      <c r="C7">
        <f>COUNTIFS(KickStarter!$D:D,"&gt;=20000",KickStarter!$D:$D,"&lt;=24999",KickStarter!$F:$F,"Failed",KickStarter!$R:$R,"plays")</f>
        <v>11</v>
      </c>
      <c r="D7">
        <f>COUNTIFS(KickStarter!$D:D,"&gt;=20000",KickStarter!$D:$D,"&lt;=24999",KickStarter!$F:$F,"Canceled",KickStarter!$R:$R,"Plays")</f>
        <v>0</v>
      </c>
      <c r="E7">
        <f>SUM(B7:C7:D7)</f>
        <v>20</v>
      </c>
      <c r="F7" s="19">
        <f t="shared" si="0"/>
        <v>0.45</v>
      </c>
      <c r="G7" s="19">
        <f t="shared" si="1"/>
        <v>0.55000000000000004</v>
      </c>
      <c r="H7" s="19">
        <f t="shared" si="2"/>
        <v>0</v>
      </c>
    </row>
    <row r="8" spans="1:8" x14ac:dyDescent="0.35">
      <c r="A8" t="s">
        <v>8410</v>
      </c>
      <c r="B8">
        <f>COUNTIFS(KickStarter!$D:D,"&gt;=25000",KickStarter!$F:$F,"Successful",KickStarter!$D:$D,"&lt;=29999",KickStarter!$R:$R,"Plays")</f>
        <v>1</v>
      </c>
      <c r="C8">
        <f>COUNTIFS(KickStarter!$D:D,"&gt;=25000",KickStarter!$D:$D,"&lt;=29999",KickStarter!$F:$F,"Failed",KickStarter!$R:$R,"plays")</f>
        <v>4</v>
      </c>
      <c r="D8">
        <f>COUNTIFS(KickStarter!$D:D,"&gt;=25000",KickStarter!$D:$D,"&lt;=29999",KickStarter!$F:$F,"Canceled",KickStarter!$R:$R,"Plays")</f>
        <v>0</v>
      </c>
      <c r="E8">
        <f>SUM(B8:C8:D8)</f>
        <v>5</v>
      </c>
      <c r="F8" s="19">
        <f t="shared" si="0"/>
        <v>0.2</v>
      </c>
      <c r="G8" s="19">
        <f t="shared" si="1"/>
        <v>0.8</v>
      </c>
      <c r="H8" s="19">
        <f t="shared" si="2"/>
        <v>0</v>
      </c>
    </row>
    <row r="9" spans="1:8" x14ac:dyDescent="0.35">
      <c r="A9" t="s">
        <v>8411</v>
      </c>
      <c r="B9">
        <f>COUNTIFS(KickStarter!$D:D,"&gt;=30000",KickStarter!$F:$F,"Successful",KickStarter!$D:$D,"&lt;=34999",KickStarter!$R:$R,"Plays")</f>
        <v>3</v>
      </c>
      <c r="C9">
        <f>COUNTIFS(KickStarter!$D:D,"&gt;=30,000",KickStarter!$D:$D,"&lt;=34999",KickStarter!$F:$F,"Failed",KickStarter!$R:$R,"plays")</f>
        <v>8</v>
      </c>
      <c r="D9">
        <f>COUNTIFS(KickStarter!$D:D,"&gt;=30000",KickStarter!$D:$D,"&lt;=34999",KickStarter!$F:$F,"Canceled",KickStarter!$R:$R,"Plays")</f>
        <v>0</v>
      </c>
      <c r="E9">
        <f>SUM(B9:C9:D9)</f>
        <v>11</v>
      </c>
      <c r="F9" s="19">
        <f t="shared" si="0"/>
        <v>0.27272727272727271</v>
      </c>
      <c r="G9" s="19">
        <f t="shared" si="1"/>
        <v>0.72727272727272729</v>
      </c>
      <c r="H9" s="19">
        <f t="shared" si="2"/>
        <v>0</v>
      </c>
    </row>
    <row r="10" spans="1:8" x14ac:dyDescent="0.35">
      <c r="A10" t="s">
        <v>8412</v>
      </c>
      <c r="B10">
        <f>COUNTIFS(KickStarter!$D:D,"&gt;=35000",KickStarter!$F:$F,"Successful",KickStarter!$D:$D,"&lt;=39999",KickStarter!$R:$R,"Plays")</f>
        <v>4</v>
      </c>
      <c r="C10">
        <f>COUNTIFS(KickStarter!$D:D,"&gt;=35000",KickStarter!$D:$D,"&lt;=39999",KickStarter!$F:$F,"Failed",KickStarter!$R:$R,"plays")</f>
        <v>2</v>
      </c>
      <c r="D10">
        <f>COUNTIFS(KickStarter!$D:D,"&gt;=35000",KickStarter!$D:$D,"&lt;=39999",KickStarter!$F:$F,"Canceled",KickStarter!$R:$R,"Plays")</f>
        <v>0</v>
      </c>
      <c r="E10">
        <f>SUM(B10:C10:D10)</f>
        <v>6</v>
      </c>
      <c r="F10" s="19">
        <f t="shared" si="0"/>
        <v>0.66666666666666663</v>
      </c>
      <c r="G10" s="19">
        <f t="shared" si="1"/>
        <v>0.33333333333333331</v>
      </c>
      <c r="H10" s="19">
        <f t="shared" si="2"/>
        <v>0</v>
      </c>
    </row>
    <row r="11" spans="1:8" x14ac:dyDescent="0.35">
      <c r="A11" t="s">
        <v>8416</v>
      </c>
      <c r="B11">
        <f>COUNTIFS(KickStarter!$D:D,"&gt;=40000",KickStarter!$F:$F,"Successful",KickStarter!$D:$D,"&lt;=44999",KickStarter!$R:$R,"Plays")</f>
        <v>2</v>
      </c>
      <c r="C11">
        <f>COUNTIFS(KickStarter!$D:D,"&gt;=40000",KickStarter!$D:$D,"&lt;=44999",KickStarter!$F:$F,"Failed",KickStarter!$R:$R,"plays")</f>
        <v>1</v>
      </c>
      <c r="D11">
        <f>COUNTIFS(KickStarter!$D:D,"&gt;=40000",KickStarter!$D:$D,"&lt;=44999",KickStarter!$F:$F,"Canceled",KickStarter!$R:$R,"Plays")</f>
        <v>0</v>
      </c>
      <c r="E11">
        <f>SUM(B11:C11:D11)</f>
        <v>3</v>
      </c>
      <c r="F11" s="19">
        <f t="shared" si="0"/>
        <v>0.66666666666666663</v>
      </c>
      <c r="G11" s="19">
        <f t="shared" si="1"/>
        <v>0.33333333333333331</v>
      </c>
      <c r="H11" s="19">
        <f t="shared" si="2"/>
        <v>0</v>
      </c>
    </row>
    <row r="12" spans="1:8" x14ac:dyDescent="0.35">
      <c r="A12" t="s">
        <v>8413</v>
      </c>
      <c r="B12">
        <f>COUNTIFS(KickStarter!$D:D,"&gt;=45000",KickStarter!$F:$F,"Successful",KickStarter!$D:$D,"&lt;=49999",KickStarter!$R:$R,"Plays")</f>
        <v>0</v>
      </c>
      <c r="C12">
        <f>COUNTIFS(KickStarter!$D:D,"&gt;=45000",KickStarter!$D:$D,"&lt;=49999",KickStarter!$F:$F,"Failed",KickStarter!$R:$R,"plays")</f>
        <v>1</v>
      </c>
      <c r="D12">
        <f>COUNTIFS(KickStarter!$D:D,"&gt;=45000",KickStarter!$D:$D,"&lt;=49999",KickStarter!$F:$F,"Canceled",KickStarter!$R:$R,"Plays")</f>
        <v>0</v>
      </c>
      <c r="E12">
        <f>SUM(B12:C12:D12)</f>
        <v>1</v>
      </c>
      <c r="F12" s="19">
        <f t="shared" si="0"/>
        <v>0</v>
      </c>
      <c r="G12" s="19">
        <f t="shared" si="1"/>
        <v>1</v>
      </c>
      <c r="H12" s="19">
        <f t="shared" si="2"/>
        <v>0</v>
      </c>
    </row>
    <row r="13" spans="1:8" x14ac:dyDescent="0.35">
      <c r="A13" t="s">
        <v>8414</v>
      </c>
      <c r="B13">
        <f>COUNTIFS(KickStarter!$D:D,"&gt;=50000",KickStarter!$F:$F,"Successful",KickStarter!$R:$R,"Plays")</f>
        <v>2</v>
      </c>
      <c r="C13">
        <f>COUNTIFS(KickStarter!$D:D,"&gt;=50000",KickStarter!$F:$F,"Failed",KickStarter!$R:$R,"plays")</f>
        <v>14</v>
      </c>
      <c r="D13">
        <f>COUNTIFS(KickStarter!$D:D,"&gt;=50000",KickStarter!$F:$F,"Canceled",KickStarter!$R:$R,"Plays")</f>
        <v>0</v>
      </c>
      <c r="E13">
        <f>SUM(B13:C13:D13)</f>
        <v>16</v>
      </c>
      <c r="F13" s="19">
        <f t="shared" si="0"/>
        <v>0.125</v>
      </c>
      <c r="G13" s="19">
        <f t="shared" si="1"/>
        <v>0.875</v>
      </c>
      <c r="H13" s="19">
        <f t="shared" si="2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 filterMode="1"/>
  <dimension ref="A1:U4115"/>
  <sheetViews>
    <sheetView topLeftCell="C1" zoomScale="95" zoomScaleNormal="95" workbookViewId="0">
      <selection activeCell="C1" sqref="A1:XFD1048576"/>
    </sheetView>
  </sheetViews>
  <sheetFormatPr defaultColWidth="8.81640625" defaultRowHeight="14.5" x14ac:dyDescent="0.35"/>
  <cols>
    <col min="1" max="1" width="7.1796875" customWidth="1"/>
    <col min="2" max="2" width="59.54296875" style="3" bestFit="1" customWidth="1"/>
    <col min="3" max="3" width="79.36328125" style="3" bestFit="1" customWidth="1"/>
    <col min="4" max="4" width="16.1796875" style="6" bestFit="1" customWidth="1"/>
    <col min="5" max="5" width="12.81640625" style="8" bestFit="1" customWidth="1"/>
    <col min="6" max="6" width="21.36328125" customWidth="1"/>
    <col min="7" max="7" width="12" bestFit="1" customWidth="1"/>
    <col min="8" max="9" width="12.81640625" bestFit="1" customWidth="1"/>
    <col min="10" max="10" width="15.81640625" bestFit="1" customWidth="1"/>
    <col min="11" max="11" width="13.6328125" bestFit="1" customWidth="1"/>
    <col min="12" max="12" width="17.81640625" bestFit="1" customWidth="1"/>
    <col min="13" max="13" width="12.81640625" bestFit="1" customWidth="1"/>
    <col min="14" max="14" width="27.54296875" bestFit="1" customWidth="1"/>
    <col min="15" max="15" width="21.81640625" bestFit="1" customWidth="1"/>
    <col min="16" max="16" width="20.6328125" style="10" bestFit="1" customWidth="1"/>
    <col min="17" max="17" width="11.54296875" bestFit="1" customWidth="1"/>
    <col min="18" max="18" width="15.90625" bestFit="1" customWidth="1"/>
    <col min="19" max="19" width="26.54296875" style="16" bestFit="1" customWidth="1"/>
    <col min="20" max="20" width="15.1796875" style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1" t="s">
        <v>8359</v>
      </c>
      <c r="R1" s="9" t="s">
        <v>8358</v>
      </c>
      <c r="S1" s="15" t="s">
        <v>8365</v>
      </c>
      <c r="T1" s="15" t="s">
        <v>8366</v>
      </c>
      <c r="U1" t="s">
        <v>8379</v>
      </c>
    </row>
    <row r="2" spans="1:21" ht="29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10">
        <f>IFERROR(ROUND(E2/L2,2),0)</f>
        <v>63.92</v>
      </c>
      <c r="Q2" s="12" t="s">
        <v>8308</v>
      </c>
      <c r="R2" t="s">
        <v>8309</v>
      </c>
      <c r="S2" s="16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10">
        <f t="shared" ref="P3:P66" si="1">IFERROR(ROUND(E3/L3,2),0)</f>
        <v>185.48</v>
      </c>
      <c r="Q3" s="12" t="s">
        <v>8308</v>
      </c>
      <c r="R3" t="s">
        <v>8309</v>
      </c>
      <c r="S3" s="16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29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0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0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29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0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29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0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29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0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29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0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29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0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29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0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29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0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29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0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29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0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0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29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0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29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0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29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0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29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29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0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29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0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29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0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0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29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0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0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29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0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0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29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0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29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0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29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0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29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0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29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0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29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0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29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0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29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0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0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29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0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29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29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0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29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0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29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0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29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0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29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0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29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0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29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0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29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0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29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0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29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0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29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0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29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0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29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0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0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29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0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29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0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0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29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0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29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29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0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29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0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29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0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29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0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29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0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29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10">
        <f t="shared" si="1"/>
        <v>86.67</v>
      </c>
      <c r="Q66" s="12" t="s">
        <v>8308</v>
      </c>
      <c r="R66" t="s">
        <v>8310</v>
      </c>
      <c r="S66" s="16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29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 s="10">
        <f t="shared" ref="P67:P130" si="6">IFERROR(ROUND(E67/L67,2),0)</f>
        <v>132.05000000000001</v>
      </c>
      <c r="Q67" s="12" t="s">
        <v>8308</v>
      </c>
      <c r="R67" t="s">
        <v>8310</v>
      </c>
      <c r="S67" s="16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0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29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0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29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29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0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29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0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29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0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29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0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29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0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29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0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29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0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29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0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0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29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0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29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0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29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0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29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0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29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0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29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0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29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0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29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0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29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0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29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29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0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0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29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0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29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0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29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0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29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0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29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0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29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0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29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0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29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0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29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0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29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0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29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0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29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0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0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29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0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0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29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0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29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29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0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29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0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29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0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29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0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0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29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0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0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29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0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29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0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29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0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29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0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29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0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0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29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0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29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0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29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0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29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0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29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0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 s="10">
        <f t="shared" si="6"/>
        <v>311.17</v>
      </c>
      <c r="Q130" s="12" t="s">
        <v>8308</v>
      </c>
      <c r="R130" t="s">
        <v>8311</v>
      </c>
      <c r="S130" s="16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29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 s="10">
        <f t="shared" ref="P131:P194" si="11">IFERROR(ROUND(E131/L131,2),0)</f>
        <v>0</v>
      </c>
      <c r="Q131" s="12" t="s">
        <v>8308</v>
      </c>
      <c r="R131" t="s">
        <v>8311</v>
      </c>
      <c r="S131" s="16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29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0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0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29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0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0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0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29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0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29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0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29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0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29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29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0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29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0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29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0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29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0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29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0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29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0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29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0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29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0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0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29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29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0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29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0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29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0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0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29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0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0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29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0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29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0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29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0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29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29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0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29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0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29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0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29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0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29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0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29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0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0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29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0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29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0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29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29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0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29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0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29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0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29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0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29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0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29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0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29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0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29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0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0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0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29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0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29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0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29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0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0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29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0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0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29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0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29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0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29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29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0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0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29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0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29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 s="10">
        <f t="shared" si="11"/>
        <v>5.67</v>
      </c>
      <c r="Q194" s="12" t="s">
        <v>8308</v>
      </c>
      <c r="R194" t="s">
        <v>8312</v>
      </c>
      <c r="S194" s="16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29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 s="10">
        <f t="shared" ref="P195:P258" si="16">IFERROR(ROUND(E195/L195,2),0)</f>
        <v>0</v>
      </c>
      <c r="Q195" s="12" t="s">
        <v>8308</v>
      </c>
      <c r="R195" t="s">
        <v>8312</v>
      </c>
      <c r="S195" s="16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29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0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29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0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29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0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29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0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29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29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0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0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29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0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0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29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0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29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0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29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0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0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29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0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29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29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0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29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0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29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0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0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29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0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29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0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29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0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29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0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0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29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0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29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0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0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29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0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29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0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29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0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29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0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29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0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29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0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29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0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29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0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29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0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29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0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29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0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29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0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29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0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29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0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0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29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29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0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29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0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29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0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29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0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29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0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29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0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29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0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29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0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43.5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0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29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29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0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29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0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29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0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29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0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29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0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29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0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0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29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 s="10">
        <f t="shared" si="16"/>
        <v>65.760000000000005</v>
      </c>
      <c r="Q258" s="12" t="s">
        <v>8308</v>
      </c>
      <c r="R258" t="s">
        <v>8313</v>
      </c>
      <c r="S258" s="16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29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 s="10">
        <f t="shared" ref="P259:P322" si="21">IFERROR(ROUND(E259/L259,2),0)</f>
        <v>66.7</v>
      </c>
      <c r="Q259" s="12" t="s">
        <v>8308</v>
      </c>
      <c r="R259" t="s">
        <v>8313</v>
      </c>
      <c r="S259" s="16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29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29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0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29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0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0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0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29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0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29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0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29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0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29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0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29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0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29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29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0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29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0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29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0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29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0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29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0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29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0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29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0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29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0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29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0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29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0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29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0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29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0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29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0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0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29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0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29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0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29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0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0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29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29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0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0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29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0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29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0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29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0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43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0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29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0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29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0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29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0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29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0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29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0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29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0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29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0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29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0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0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29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0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0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0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29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29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0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29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0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29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0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29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0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29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0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29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0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29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0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0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29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0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29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29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0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29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 s="10">
        <f t="shared" si="21"/>
        <v>134.91</v>
      </c>
      <c r="Q322" s="12" t="s">
        <v>8308</v>
      </c>
      <c r="R322" t="s">
        <v>8313</v>
      </c>
      <c r="S322" s="16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29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 s="10">
        <f t="shared" ref="P323:P386" si="26">IFERROR(ROUND(E323/L323,2),0)</f>
        <v>106.62</v>
      </c>
      <c r="Q323" s="12" t="s">
        <v>8308</v>
      </c>
      <c r="R323" t="s">
        <v>8313</v>
      </c>
      <c r="S323" s="16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29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0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29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0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29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0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29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0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29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0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29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0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29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29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0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29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0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29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0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29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0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29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0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29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0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29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0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29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0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29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0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29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29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0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29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0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29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0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0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29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0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29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0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29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0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29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0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29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0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29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29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0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29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0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29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0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29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0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29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0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29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0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0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29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0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29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0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29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29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0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29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0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29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0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29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0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29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0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29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0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29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0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29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0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29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0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29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29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0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29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0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29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0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0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29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0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29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0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29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0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29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0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29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0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29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29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0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29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0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29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0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29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0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29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0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29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 s="10">
        <f t="shared" si="26"/>
        <v>58.54</v>
      </c>
      <c r="Q386" s="12" t="s">
        <v>8308</v>
      </c>
      <c r="R386" t="s">
        <v>8313</v>
      </c>
      <c r="S386" s="16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29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 s="10">
        <f t="shared" ref="P387:P450" si="31">IFERROR(ROUND(E387/L387,2),0)</f>
        <v>111.8</v>
      </c>
      <c r="Q387" s="12" t="s">
        <v>8308</v>
      </c>
      <c r="R387" t="s">
        <v>8313</v>
      </c>
      <c r="S387" s="16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29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0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29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0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29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29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0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29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0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29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0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29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0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29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0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29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0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29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0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29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0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29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0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29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29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0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29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0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29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0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0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29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0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29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0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0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29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0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29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0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29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29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0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29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0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29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0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29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0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29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0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29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0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29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0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29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0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29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0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29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29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0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29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0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29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0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29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0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29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0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29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0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29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0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29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0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29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0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29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0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29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0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29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0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29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0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0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29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0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29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0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29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0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29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0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29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29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0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29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0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29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0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0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29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0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29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0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29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0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29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0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29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0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29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 s="10">
        <f t="shared" si="31"/>
        <v>20.5</v>
      </c>
      <c r="Q450" s="12" t="s">
        <v>8308</v>
      </c>
      <c r="R450" t="s">
        <v>8314</v>
      </c>
      <c r="S450" s="16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29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 s="10">
        <f t="shared" ref="P451:P514" si="36">IFERROR(ROUND(E451/L451,2),0)</f>
        <v>9</v>
      </c>
      <c r="Q451" s="12" t="s">
        <v>8308</v>
      </c>
      <c r="R451" t="s">
        <v>8314</v>
      </c>
      <c r="S451" s="16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29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0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29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0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0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29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0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29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0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29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0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29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0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29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0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29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29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0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0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29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0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29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0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29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0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0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0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29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0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29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0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29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0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29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0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43.5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0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29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0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29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0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29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0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29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0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0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29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0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29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29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0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29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0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29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0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29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0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29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0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29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0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0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29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0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29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0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29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29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0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0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29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0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29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0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29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0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29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0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29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0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0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0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29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29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0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29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0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29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0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29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0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29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0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29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0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29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0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29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0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29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0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29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29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0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29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0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29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0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29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 s="10">
        <f t="shared" si="36"/>
        <v>5.5</v>
      </c>
      <c r="Q514" s="12" t="s">
        <v>8308</v>
      </c>
      <c r="R514" t="s">
        <v>8314</v>
      </c>
      <c r="S514" s="16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 s="10">
        <f t="shared" ref="P515:P578" si="41">IFERROR(ROUND(E515/L515,2),0)</f>
        <v>102.38</v>
      </c>
      <c r="Q515" s="12" t="s">
        <v>8308</v>
      </c>
      <c r="R515" t="s">
        <v>8314</v>
      </c>
      <c r="S515" s="16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29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0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29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0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0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29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0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29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29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0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29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0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29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0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29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0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29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0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29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0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29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0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29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0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29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0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29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0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29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0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29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0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29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0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29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0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29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0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29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0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29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0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29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0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29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29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0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29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0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29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0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29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0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29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0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29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0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29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0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29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0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29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0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29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29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0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29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0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29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0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29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0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29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0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29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0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29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0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0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29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0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29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29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0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29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0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29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0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29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0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29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0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29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0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29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0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29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0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29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0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43.5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29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0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0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29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0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29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0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29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0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29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0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29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0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29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 s="10">
        <f t="shared" si="41"/>
        <v>1</v>
      </c>
      <c r="Q578" s="12" t="s">
        <v>8317</v>
      </c>
      <c r="R578" t="s">
        <v>8318</v>
      </c>
      <c r="S578" s="16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29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 s="10">
        <f t="shared" ref="P579:P642" si="46">IFERROR(ROUND(E579/L579,2),0)</f>
        <v>10</v>
      </c>
      <c r="Q579" s="12" t="s">
        <v>8317</v>
      </c>
      <c r="R579" t="s">
        <v>8318</v>
      </c>
      <c r="S579" s="16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1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10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29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10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29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10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29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10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29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10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29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10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10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29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10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58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10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29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1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10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29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10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29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10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29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10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29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10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10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29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10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10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29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10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1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29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10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10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29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10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29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10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29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10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29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10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10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29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10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29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10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29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29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10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29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10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29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10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10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29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10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29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10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29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10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29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10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29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10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29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1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10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29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10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29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10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29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10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29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10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29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10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29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10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29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10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29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10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29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1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29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10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29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10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10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10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29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10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10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10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29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10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29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10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1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10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29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 s="10">
        <f t="shared" si="46"/>
        <v>50.5</v>
      </c>
      <c r="Q642" s="12" t="s">
        <v>8317</v>
      </c>
      <c r="R642" t="s">
        <v>8319</v>
      </c>
      <c r="S642" s="16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29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 s="10">
        <f t="shared" ref="P643:P706" si="51">IFERROR(ROUND(E643/L643,2),0)</f>
        <v>151.32</v>
      </c>
      <c r="Q643" s="12" t="s">
        <v>8317</v>
      </c>
      <c r="R643" t="s">
        <v>8319</v>
      </c>
      <c r="S643" s="16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29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0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29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0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29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0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0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29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0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29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0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29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0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29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0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29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0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29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0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29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0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29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0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29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0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29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0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29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0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29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0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29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0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29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0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29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0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29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0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29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0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29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0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29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0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29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0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29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29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0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29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0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29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0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29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0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29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0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0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29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0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29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0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29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0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29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29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0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29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0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29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0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29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0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29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0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0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29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0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29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0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29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0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29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29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0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0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29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0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29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0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29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0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29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0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29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0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0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29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0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29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29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0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29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0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29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0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29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0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29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0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29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 s="10">
        <f t="shared" si="51"/>
        <v>120.25</v>
      </c>
      <c r="Q706" s="12" t="s">
        <v>8317</v>
      </c>
      <c r="R706" t="s">
        <v>8319</v>
      </c>
      <c r="S706" s="16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 s="10">
        <f t="shared" ref="P707:P770" si="56">IFERROR(ROUND(E707/L707,2),0)</f>
        <v>195.4</v>
      </c>
      <c r="Q707" s="12" t="s">
        <v>8317</v>
      </c>
      <c r="R707" t="s">
        <v>8319</v>
      </c>
      <c r="S707" s="16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29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10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29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10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29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10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10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29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10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29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10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29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10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29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10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29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10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29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10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10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29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1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29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10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29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10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29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10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29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10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10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29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10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29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10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29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10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29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10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29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1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29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10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10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29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10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29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10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29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10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29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10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29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10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29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10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29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10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1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29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10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29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10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10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29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10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29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10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29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10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29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10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10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29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10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29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1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29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10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29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10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29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10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29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10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29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10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29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10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29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10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29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10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29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10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1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29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10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29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10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29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10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29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10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29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10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29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10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29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10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29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10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8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10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29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 s="10">
        <f t="shared" si="56"/>
        <v>0</v>
      </c>
      <c r="Q770" s="12" t="s">
        <v>8320</v>
      </c>
      <c r="R770" t="s">
        <v>8322</v>
      </c>
      <c r="S770" s="16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29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 s="10">
        <f t="shared" ref="P771:P834" si="61">IFERROR(ROUND(E771/L771,2),0)</f>
        <v>31.85</v>
      </c>
      <c r="Q771" s="12" t="s">
        <v>8320</v>
      </c>
      <c r="R771" t="s">
        <v>8322</v>
      </c>
      <c r="S771" s="16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29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10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29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10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29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10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29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10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29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10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29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10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29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10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29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10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29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1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29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10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29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10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29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10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29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10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29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10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29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10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29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10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29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10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29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10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29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1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29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10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29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10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29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10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10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29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10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29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10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29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10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29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10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29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10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29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1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29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10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29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10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29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10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29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10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29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10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29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10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29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10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10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10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29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29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10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29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10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10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29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10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10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29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10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10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10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29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10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29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1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10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29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10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29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10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10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29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10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29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10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10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29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10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29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10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29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1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29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10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29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10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10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29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 s="10">
        <f t="shared" si="61"/>
        <v>97.99</v>
      </c>
      <c r="Q834" s="12" t="s">
        <v>8323</v>
      </c>
      <c r="R834" t="s">
        <v>8324</v>
      </c>
      <c r="S834" s="16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 s="10">
        <f t="shared" ref="P835:P898" si="66">IFERROR(ROUND(E835/L835,2),0)</f>
        <v>148.78</v>
      </c>
      <c r="Q835" s="12" t="s">
        <v>8323</v>
      </c>
      <c r="R835" t="s">
        <v>8324</v>
      </c>
      <c r="S835" s="16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29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10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29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10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10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10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29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1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29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10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29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10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29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10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29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10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29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29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10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29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10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29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10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10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29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1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29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10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29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10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29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10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10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29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10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29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10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10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29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10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10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29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1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29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10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29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10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29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10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29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10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29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10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29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10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29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10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29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10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29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10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29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1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29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10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29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10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29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10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29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10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10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29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10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29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10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10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29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10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29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1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29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10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29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10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29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10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29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10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29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10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29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10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29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10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29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10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29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10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29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1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29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10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29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10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29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10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29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10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29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10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29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10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29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10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29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 s="10">
        <f t="shared" si="66"/>
        <v>44.44</v>
      </c>
      <c r="Q898" s="12" t="s">
        <v>8323</v>
      </c>
      <c r="R898" t="s">
        <v>8327</v>
      </c>
      <c r="S898" s="16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29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 s="10">
        <f t="shared" ref="P899:P962" si="71">IFERROR(ROUND(E899/L899,2),0)</f>
        <v>0</v>
      </c>
      <c r="Q899" s="12" t="s">
        <v>8323</v>
      </c>
      <c r="R899" t="s">
        <v>8327</v>
      </c>
      <c r="S899" s="16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29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1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29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10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10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29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10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29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10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29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10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29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10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29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10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10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9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10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29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29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10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29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10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29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10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29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10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29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10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29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10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29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10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29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10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29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10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29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1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10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29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10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29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10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29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10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29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10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29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10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29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10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29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10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10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29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1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29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10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29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10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29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10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10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29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10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29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10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29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10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29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10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29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10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29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1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29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10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29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10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29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10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29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10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10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29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10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29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10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29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10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29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10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29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1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29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10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29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10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10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10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29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10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29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10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29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10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43.5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10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10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29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1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29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10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29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 s="10">
        <f t="shared" si="71"/>
        <v>136.46</v>
      </c>
      <c r="Q962" s="12" t="s">
        <v>8317</v>
      </c>
      <c r="R962" t="s">
        <v>8319</v>
      </c>
      <c r="S962" s="16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29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 s="10">
        <f t="shared" ref="P963:P1026" si="76">IFERROR(ROUND(E963/L963,2),0)</f>
        <v>364.35</v>
      </c>
      <c r="Q963" s="12" t="s">
        <v>8317</v>
      </c>
      <c r="R963" t="s">
        <v>8319</v>
      </c>
      <c r="S963" s="16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29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10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10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29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10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29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10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29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10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29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10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29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1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10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29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10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29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10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29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10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29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10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29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10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29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10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29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10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29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10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29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1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29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10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29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10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29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10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10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29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10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58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10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29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10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29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10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29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10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43.5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1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10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29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10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58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10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29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10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29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10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10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29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10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9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10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10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29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1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29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10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29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10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29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10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29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10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29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10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10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29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10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29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10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29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10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29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29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10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29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10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29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10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29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10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29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10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10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10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29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10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29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10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29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1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29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10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29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10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29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10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10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29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10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29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 s="10">
        <f t="shared" si="76"/>
        <v>388.98</v>
      </c>
      <c r="Q1026" s="12" t="s">
        <v>8323</v>
      </c>
      <c r="R1026" t="s">
        <v>8328</v>
      </c>
      <c r="S1026" s="16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 s="10">
        <f t="shared" ref="P1027:P1090" si="81">IFERROR(ROUND(E1027/L1027,2),0)</f>
        <v>71.849999999999994</v>
      </c>
      <c r="Q1027" s="12" t="s">
        <v>8323</v>
      </c>
      <c r="R1027" t="s">
        <v>8328</v>
      </c>
      <c r="S1027" s="16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29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10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29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10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29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1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10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10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29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10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10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29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10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29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10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29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10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29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10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29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10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29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1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29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10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29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10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29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10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29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10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29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10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29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10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29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10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29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10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29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10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29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1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10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10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29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10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29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10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29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10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29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10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29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10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29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10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29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10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29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1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10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29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10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10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10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29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10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29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10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29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10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29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10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29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10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29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1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29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10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29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10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29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10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29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10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10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29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10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10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29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10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29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10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29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1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29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10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29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10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29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10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29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10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29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10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10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29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10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10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29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10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 s="10">
        <f t="shared" si="81"/>
        <v>43.42</v>
      </c>
      <c r="Q1090" s="12" t="s">
        <v>8331</v>
      </c>
      <c r="R1090" t="s">
        <v>8332</v>
      </c>
      <c r="S1090" s="16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 s="10">
        <f t="shared" ref="P1091:P1154" si="86">IFERROR(ROUND(E1091/L1091,2),0)</f>
        <v>23.96</v>
      </c>
      <c r="Q1091" s="12" t="s">
        <v>8331</v>
      </c>
      <c r="R1091" t="s">
        <v>8332</v>
      </c>
      <c r="S1091" s="16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29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10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29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10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29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10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29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10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29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10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29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10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29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10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29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10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1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29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10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29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10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10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29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10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29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10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29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10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29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10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29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10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29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10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29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29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10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29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10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29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10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29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10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29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10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29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10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29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10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29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10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29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10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29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1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29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10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29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10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29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10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29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10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29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10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29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10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29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10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29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10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29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10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1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29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10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29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10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29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10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29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10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29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10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29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10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29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10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29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10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29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10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29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1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29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10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29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10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10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29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10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29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10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29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10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29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10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29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10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29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10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1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10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10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29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10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 s="10">
        <f t="shared" si="86"/>
        <v>60.73</v>
      </c>
      <c r="Q1154" s="12" t="s">
        <v>8334</v>
      </c>
      <c r="R1154" t="s">
        <v>8335</v>
      </c>
      <c r="S1154" s="16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 s="10">
        <f t="shared" ref="P1155:P1218" si="91">IFERROR(ROUND(E1155/L1155,2),0)</f>
        <v>50</v>
      </c>
      <c r="Q1155" s="12" t="s">
        <v>8334</v>
      </c>
      <c r="R1155" t="s">
        <v>8335</v>
      </c>
      <c r="S1155" s="16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29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10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29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10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29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10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29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10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29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1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29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10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29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10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29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10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29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0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29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10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10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29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10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29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10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29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10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29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1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29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10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29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10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29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10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10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29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0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29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10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29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10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43.5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10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29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10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29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1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29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10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29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10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10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29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10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29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10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29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10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29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10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29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10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29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10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29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1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29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10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10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29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10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10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29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10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29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10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43.5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10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10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29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10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29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1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29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10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29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10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29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10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29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10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29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10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29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10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29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10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29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10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10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29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29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10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10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29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10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29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10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29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10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29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10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29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10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 s="10">
        <f t="shared" si="91"/>
        <v>91.88</v>
      </c>
      <c r="Q1218" s="12" t="s">
        <v>8336</v>
      </c>
      <c r="R1218" t="s">
        <v>8337</v>
      </c>
      <c r="S1218" s="16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29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 s="10">
        <f t="shared" ref="P1219:P1282" si="96">IFERROR(ROUND(E1219/L1219,2),0)</f>
        <v>148.57</v>
      </c>
      <c r="Q1219" s="12" t="s">
        <v>8336</v>
      </c>
      <c r="R1219" t="s">
        <v>8337</v>
      </c>
      <c r="S1219" s="16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29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1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10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29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10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29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10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10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29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10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10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29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10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29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10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29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10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29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1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29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10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29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10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29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10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29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10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29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10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29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10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29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10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10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29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10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29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1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10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29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10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29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10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29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10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29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10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29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10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29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10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29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10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10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29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1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29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10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29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10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10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29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10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29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10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29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10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29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10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29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10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29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10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29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1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10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29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10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29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10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29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10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10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29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10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29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10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10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29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10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1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29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10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10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29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10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29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10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29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10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29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10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29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10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10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29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10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29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1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29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10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29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 s="10">
        <f t="shared" si="96"/>
        <v>127.98</v>
      </c>
      <c r="Q1282" s="12" t="s">
        <v>8323</v>
      </c>
      <c r="R1282" t="s">
        <v>8324</v>
      </c>
      <c r="S1282" s="16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29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 s="10">
        <f t="shared" ref="P1283:P1346" si="101">IFERROR(ROUND(E1283/L1283,2),0)</f>
        <v>104.73</v>
      </c>
      <c r="Q1283" s="12" t="s">
        <v>8323</v>
      </c>
      <c r="R1283" t="s">
        <v>8324</v>
      </c>
      <c r="S1283" s="16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29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10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29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10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29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10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29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10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29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10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43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10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29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1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29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10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10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29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10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29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10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29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10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29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10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29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10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29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10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29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10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29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1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29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10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29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10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29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10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29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10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10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29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10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29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10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29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10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10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29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10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29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10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29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10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29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10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29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10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29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10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10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29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10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29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10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29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1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29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10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29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10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29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10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29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10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29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10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29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10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29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10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29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10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29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10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29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1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29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10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29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10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29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10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29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10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29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10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29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10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29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10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29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10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29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10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29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1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10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29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10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29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10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29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10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29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10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29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 s="10">
        <f t="shared" si="101"/>
        <v>40.76</v>
      </c>
      <c r="Q1346" s="12" t="s">
        <v>8320</v>
      </c>
      <c r="R1346" t="s">
        <v>8321</v>
      </c>
      <c r="S1346" s="16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29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 s="10">
        <f t="shared" ref="P1347:P1410" si="106">IFERROR(ROUND(E1347/L1347,2),0)</f>
        <v>53.57</v>
      </c>
      <c r="Q1347" s="12" t="s">
        <v>8320</v>
      </c>
      <c r="R1347" t="s">
        <v>8321</v>
      </c>
      <c r="S1347" s="16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29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10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29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10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29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1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29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10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29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10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10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29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10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29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10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29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10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29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10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29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10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29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10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29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1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29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10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10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29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10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29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10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29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10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29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10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29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10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10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29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10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29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1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29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10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10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29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10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10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10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29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10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29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10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10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29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10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1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10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29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10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29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10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29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10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29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10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29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10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29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10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10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29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10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29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1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10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29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10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29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10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29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10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10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29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10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10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29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10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29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10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29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1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29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10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29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10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29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10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29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10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29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10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29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10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10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10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29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10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29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 s="10">
        <f t="shared" si="106"/>
        <v>12</v>
      </c>
      <c r="Q1410" s="12" t="s">
        <v>8320</v>
      </c>
      <c r="R1410" t="s">
        <v>8339</v>
      </c>
      <c r="S1410" s="16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29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 s="10">
        <f t="shared" ref="P1411:P1474" si="111">IFERROR(ROUND(E1411/L1411,2),0)</f>
        <v>0</v>
      </c>
      <c r="Q1411" s="12" t="s">
        <v>8320</v>
      </c>
      <c r="R1411" t="s">
        <v>8339</v>
      </c>
      <c r="S1411" s="16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29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10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29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10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10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29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10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29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10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29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10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29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10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29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10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29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1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29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10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10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29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10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29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10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29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10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29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10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29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10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29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10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29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10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29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1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29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10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29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10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29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10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29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10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29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10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29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10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29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10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29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10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29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10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29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1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29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10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29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10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29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10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29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10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29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10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29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10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29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10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29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10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10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29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1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29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10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29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10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29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10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10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29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10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29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10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29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10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10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10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29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1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29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10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29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10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10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10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29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10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10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29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10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29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10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10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29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1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29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10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29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10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29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10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29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 s="10">
        <f t="shared" si="111"/>
        <v>103.2</v>
      </c>
      <c r="Q1474" s="12" t="s">
        <v>8320</v>
      </c>
      <c r="R1474" t="s">
        <v>8340</v>
      </c>
      <c r="S1474" s="16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 s="10">
        <f t="shared" ref="P1475:P1538" si="116">IFERROR(ROUND(E1475/L1475,2),0)</f>
        <v>38.46</v>
      </c>
      <c r="Q1475" s="12" t="s">
        <v>8320</v>
      </c>
      <c r="R1475" t="s">
        <v>8340</v>
      </c>
      <c r="S1475" s="16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29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10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29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10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10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29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10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29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1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29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10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29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10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29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10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10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29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10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10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29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10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29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10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29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10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29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1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29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10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29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10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29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10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29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10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10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29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10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10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29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10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29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10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29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1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29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10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29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10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10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29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10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29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10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29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10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29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10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29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10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29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10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29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29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10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29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10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29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10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29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10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29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10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29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10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29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10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29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10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29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10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1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29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10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10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29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10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29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10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29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10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29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10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29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10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29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10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29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10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1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10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29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10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29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10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29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10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29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10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29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10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29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10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29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 s="10">
        <f t="shared" si="116"/>
        <v>66.02</v>
      </c>
      <c r="Q1538" s="12" t="s">
        <v>8336</v>
      </c>
      <c r="R1538" t="s">
        <v>8337</v>
      </c>
      <c r="S1538" s="16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29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 s="10">
        <f t="shared" ref="P1539:P1602" si="121">IFERROR(ROUND(E1539/L1539,2),0)</f>
        <v>96.38</v>
      </c>
      <c r="Q1539" s="12" t="s">
        <v>8336</v>
      </c>
      <c r="R1539" t="s">
        <v>8337</v>
      </c>
      <c r="S1539" s="16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29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1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29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10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29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10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29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10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29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10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29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10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29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10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29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10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29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10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29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10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1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29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10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29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10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29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10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29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10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29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10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29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10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29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10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29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10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29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10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29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1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10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29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10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29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10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29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10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29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10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29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10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29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10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29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10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29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10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29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1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10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10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29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10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29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10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29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10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29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10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29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10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10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29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10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29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1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10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29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10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29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10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10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29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10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29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10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29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10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10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29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10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1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29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10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10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29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10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10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10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10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29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10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29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10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29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10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29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1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29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10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29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 s="10">
        <f t="shared" si="121"/>
        <v>40.78</v>
      </c>
      <c r="Q1602" s="12" t="s">
        <v>8336</v>
      </c>
      <c r="R1602" t="s">
        <v>8343</v>
      </c>
      <c r="S1602" s="16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29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 s="10">
        <f t="shared" ref="P1603:P1666" si="126">IFERROR(ROUND(E1603/L1603,2),0)</f>
        <v>48.33</v>
      </c>
      <c r="Q1603" s="12" t="s">
        <v>8323</v>
      </c>
      <c r="R1603" t="s">
        <v>8324</v>
      </c>
      <c r="S1603" s="16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29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10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10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29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10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29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10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29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10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29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10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29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10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10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10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29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10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29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10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29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10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29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10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29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10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10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29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1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29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10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10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29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10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29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10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29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10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29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10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29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10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29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10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29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10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1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10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29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10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29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10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29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10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29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10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10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29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10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29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10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29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10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1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29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10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29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10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10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29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10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10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29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10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29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10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29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10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29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10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29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1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29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10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29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10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29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10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29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10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29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10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29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10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10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43.5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10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29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10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29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1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29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10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29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10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29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10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29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10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29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10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29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 s="10">
        <f t="shared" si="126"/>
        <v>34.380000000000003</v>
      </c>
      <c r="Q1666" s="12" t="s">
        <v>8323</v>
      </c>
      <c r="R1666" t="s">
        <v>8344</v>
      </c>
      <c r="S1666" s="16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29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 s="10">
        <f t="shared" ref="P1667:P1730" si="131">IFERROR(ROUND(E1667/L1667,2),0)</f>
        <v>44.96</v>
      </c>
      <c r="Q1667" s="12" t="s">
        <v>8323</v>
      </c>
      <c r="R1667" t="s">
        <v>8344</v>
      </c>
      <c r="S1667" s="16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29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10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29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10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29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1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29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10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29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10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10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29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10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29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10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29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10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10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10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29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10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29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1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29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10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10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29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10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10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29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10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10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29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10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29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10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29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10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29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1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10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29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10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29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10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29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10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29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10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29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10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29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10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29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10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29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10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43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1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29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10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29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10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29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10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10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29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10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29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10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29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10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29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10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29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10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29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29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10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10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29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10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29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10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29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10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29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10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29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10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29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10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29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10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1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29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10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29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10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29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10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29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10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29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10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29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10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29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10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10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29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10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29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 s="10">
        <f t="shared" si="131"/>
        <v>122.14</v>
      </c>
      <c r="Q1730" s="12" t="s">
        <v>8323</v>
      </c>
      <c r="R1730" t="s">
        <v>8345</v>
      </c>
      <c r="S1730" s="16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29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 s="10">
        <f t="shared" ref="P1731:P1794" si="136">IFERROR(ROUND(E1731/L1731,2),0)</f>
        <v>0</v>
      </c>
      <c r="Q1731" s="12" t="s">
        <v>8323</v>
      </c>
      <c r="R1731" t="s">
        <v>8345</v>
      </c>
      <c r="S1731" s="16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29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10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10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29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10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29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10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29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10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29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10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10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29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10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1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29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10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29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10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10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29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10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29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10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29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10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29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10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29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10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29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10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1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10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29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10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10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10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29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10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29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10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29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10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29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10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10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29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1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10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29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10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10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10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29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10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29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10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29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10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10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10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29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1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29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10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29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10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29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10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29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10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29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10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29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10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29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10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29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10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29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10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29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1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29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10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29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10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29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10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29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10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29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10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29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10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29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10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29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10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29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10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29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1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29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10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29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10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10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 s="10">
        <f t="shared" si="136"/>
        <v>109.94</v>
      </c>
      <c r="Q1794" s="12" t="s">
        <v>8336</v>
      </c>
      <c r="R1794" t="s">
        <v>8337</v>
      </c>
      <c r="S1794" s="16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29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 s="10">
        <f t="shared" ref="P1795:P1858" si="141">IFERROR(ROUND(E1795/L1795,2),0)</f>
        <v>20</v>
      </c>
      <c r="Q1795" s="12" t="s">
        <v>8336</v>
      </c>
      <c r="R1795" t="s">
        <v>8337</v>
      </c>
      <c r="S1795" s="16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29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10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29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10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29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10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29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10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29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1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10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29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10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29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10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10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29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10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29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10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29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10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29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10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10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29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29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10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29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10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29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10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29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10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29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10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29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10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29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10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29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10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10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1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29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10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29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10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29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10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10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29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10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10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29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10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10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29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10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29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1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29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10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29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10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29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10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29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10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29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10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10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43.5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10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10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29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10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29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1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29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10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29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10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10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29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10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29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10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29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10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72.5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10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29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10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29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10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29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1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10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29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10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29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10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29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10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29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10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29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10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29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10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29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 s="10">
        <f t="shared" si="141"/>
        <v>53.29</v>
      </c>
      <c r="Q1858" s="12" t="s">
        <v>8323</v>
      </c>
      <c r="R1858" t="s">
        <v>8324</v>
      </c>
      <c r="S1858" s="16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29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 s="10">
        <f t="shared" ref="P1859:P1922" si="146">IFERROR(ROUND(E1859/L1859,2),0)</f>
        <v>136.36000000000001</v>
      </c>
      <c r="Q1859" s="12" t="s">
        <v>8323</v>
      </c>
      <c r="R1859" t="s">
        <v>8324</v>
      </c>
      <c r="S1859" s="16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29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1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10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29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10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29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10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29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10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29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10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29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10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29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10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29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10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29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10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29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1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29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10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29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10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29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10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29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10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29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10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29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10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29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10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29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10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29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10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29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1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29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10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10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29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10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29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10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29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10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29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10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29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10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29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10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29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10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29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1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29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10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29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10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29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10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29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10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29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10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10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29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10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29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10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29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10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29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1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29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10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29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10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29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10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29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10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29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10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29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10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29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10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29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10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29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10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29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29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10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29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10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29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10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29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10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10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29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10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29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10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10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10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29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1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29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10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29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 s="10">
        <f t="shared" si="146"/>
        <v>40.98</v>
      </c>
      <c r="Q1922" s="12" t="s">
        <v>8317</v>
      </c>
      <c r="R1922" t="s">
        <v>8346</v>
      </c>
      <c r="S1922" s="16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 s="10">
        <f t="shared" ref="P1923:P1986" si="151">IFERROR(ROUND(E1923/L1923,2),0)</f>
        <v>54</v>
      </c>
      <c r="Q1923" s="12" t="s">
        <v>8323</v>
      </c>
      <c r="R1923" t="s">
        <v>8327</v>
      </c>
      <c r="S1923" s="16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29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10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29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10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43.5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10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29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10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29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10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10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1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29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10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10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29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10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29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10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29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10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29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10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29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10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29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10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29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10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29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1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29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10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29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10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29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10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29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10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29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10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29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10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29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10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29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10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29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10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1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29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10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29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10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29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10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29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10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29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10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10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29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10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29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10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10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29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1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29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10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29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10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29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10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29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10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29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10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29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10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29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10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29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10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29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10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1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29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10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29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10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29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10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29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10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29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10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29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10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10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10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29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10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29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1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29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10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10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29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10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29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10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29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10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43.5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 s="10">
        <f t="shared" si="151"/>
        <v>453.14</v>
      </c>
      <c r="Q1986" s="12" t="s">
        <v>8336</v>
      </c>
      <c r="R1986" t="s">
        <v>8348</v>
      </c>
      <c r="S1986" s="16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29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 s="10">
        <f t="shared" ref="P1987:P2050" si="156">IFERROR(ROUND(E1987/L1987,2),0)</f>
        <v>12.75</v>
      </c>
      <c r="Q1987" s="12" t="s">
        <v>8336</v>
      </c>
      <c r="R1987" t="s">
        <v>8348</v>
      </c>
      <c r="S1987" s="16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29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10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10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1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29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10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29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10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10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10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29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10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29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10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29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10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29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10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29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10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29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1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29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10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29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10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29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10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29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10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29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10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29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10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29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10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29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10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29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10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29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29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10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10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29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10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29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10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29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10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29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10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29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10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10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29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10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29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1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29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10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29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10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29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10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29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10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29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10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29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10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29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10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10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29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10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1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29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10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29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10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10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29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10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29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10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29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10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29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10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29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10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29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10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29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1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10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10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29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10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29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10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29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10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29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10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29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10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29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10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29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10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29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 s="10">
        <f t="shared" si="156"/>
        <v>91.83</v>
      </c>
      <c r="Q2050" s="12" t="s">
        <v>8317</v>
      </c>
      <c r="R2050" t="s">
        <v>8347</v>
      </c>
      <c r="S2050" s="16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 s="10">
        <f t="shared" ref="P2051:P2114" si="161">IFERROR(ROUND(E2051/L2051,2),0)</f>
        <v>80.989999999999995</v>
      </c>
      <c r="Q2051" s="12" t="s">
        <v>8317</v>
      </c>
      <c r="R2051" t="s">
        <v>8347</v>
      </c>
      <c r="S2051" s="16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29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10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29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10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29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10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29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10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29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10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29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10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29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10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29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10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1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29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10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29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10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29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10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29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10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10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29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10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29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10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29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10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29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10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29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1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29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10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29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10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29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10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29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10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29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10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10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29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10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10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29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10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29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1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29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10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29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10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29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10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29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10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29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10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29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10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29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10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29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10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29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10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29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1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10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29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10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29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10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29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10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29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10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43.5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10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29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29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10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29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10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29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1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10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29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10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29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10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29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10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10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29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10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10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29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10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29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10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29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29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10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10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29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10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29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 s="10">
        <f t="shared" si="161"/>
        <v>27.27</v>
      </c>
      <c r="Q2114" s="12" t="s">
        <v>8323</v>
      </c>
      <c r="R2114" t="s">
        <v>8327</v>
      </c>
      <c r="S2114" s="16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 s="10">
        <f t="shared" ref="P2115:P2178" si="166">IFERROR(ROUND(E2115/L2115,2),0)</f>
        <v>68.599999999999994</v>
      </c>
      <c r="Q2115" s="12" t="s">
        <v>8323</v>
      </c>
      <c r="R2115" t="s">
        <v>8327</v>
      </c>
      <c r="S2115" s="16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29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10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29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10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29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10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29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10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1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29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10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29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10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29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10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29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10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29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10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29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10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29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10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29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10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10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29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1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29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10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10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29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10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29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10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29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10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29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10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29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10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29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10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29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10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1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29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10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29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10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29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10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29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10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29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10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29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10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29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10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29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10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10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29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1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29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10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10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29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10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29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10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29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10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10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29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10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29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10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10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29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1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43.5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10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29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10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10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29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10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29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10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10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29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10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29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10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10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1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29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10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29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10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29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10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10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29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10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29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10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29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10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29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 s="10">
        <f t="shared" si="166"/>
        <v>88.75</v>
      </c>
      <c r="Q2178" s="12" t="s">
        <v>8323</v>
      </c>
      <c r="R2178" t="s">
        <v>8324</v>
      </c>
      <c r="S2178" s="16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43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65.87</v>
      </c>
      <c r="Q2179" s="12" t="s">
        <v>8323</v>
      </c>
      <c r="R2179" t="s">
        <v>8324</v>
      </c>
      <c r="S2179" s="16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29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1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29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10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10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29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10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29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10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29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10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29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10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29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10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29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10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29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10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29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1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29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10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29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10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29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10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29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10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29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10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29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10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10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10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29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10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29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1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10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29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10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29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10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10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29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10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29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10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29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10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29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10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29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10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29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10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29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10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29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10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29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10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29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10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29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10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10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29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10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29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10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29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1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29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10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29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10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29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10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29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10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29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10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29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10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29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10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29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10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29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10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29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1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29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10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29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10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29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10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29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10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29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10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29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10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10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29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10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29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10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1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10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29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 s="10">
        <f t="shared" si="171"/>
        <v>140.97999999999999</v>
      </c>
      <c r="Q2242" s="12" t="s">
        <v>8331</v>
      </c>
      <c r="R2242" t="s">
        <v>8349</v>
      </c>
      <c r="S2242" s="16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29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 s="10">
        <f t="shared" ref="P2243:P2306" si="176">IFERROR(ROUND(E2243/L2243,2),0)</f>
        <v>49.47</v>
      </c>
      <c r="Q2243" s="12" t="s">
        <v>8331</v>
      </c>
      <c r="R2243" t="s">
        <v>8349</v>
      </c>
      <c r="S2243" s="16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10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29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10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29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10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29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10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29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10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10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29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1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29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10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29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10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29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10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29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10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29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10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29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10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10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29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10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29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10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1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29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10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29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10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29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10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29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10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29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10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29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10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29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10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29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10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29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10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29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1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29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10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29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10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29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10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29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10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29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10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29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10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29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10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29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10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29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10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1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29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10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29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10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29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10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10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29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10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10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29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10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29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10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29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10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29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1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29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10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29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10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29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10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29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10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10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29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10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29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10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29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10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10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29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1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29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10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29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10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10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29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10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29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10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29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 s="10">
        <f t="shared" si="176"/>
        <v>53.47</v>
      </c>
      <c r="Q2306" s="12" t="s">
        <v>8323</v>
      </c>
      <c r="R2306" t="s">
        <v>8327</v>
      </c>
      <c r="S2306" s="16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29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 s="10">
        <f t="shared" ref="P2307:P2370" si="181">IFERROR(ROUND(E2307/L2307,2),0)</f>
        <v>109.11</v>
      </c>
      <c r="Q2307" s="12" t="s">
        <v>8323</v>
      </c>
      <c r="R2307" t="s">
        <v>8327</v>
      </c>
      <c r="S2307" s="16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29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10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29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10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29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29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10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29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10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29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10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29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10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10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29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10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29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10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29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10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29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10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29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1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29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10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29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10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29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10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29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10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29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10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29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10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29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10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29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10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10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43.5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1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29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10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29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10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29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10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29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10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29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10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29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10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29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10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29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10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10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29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1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29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10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29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10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29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10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29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10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29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10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29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10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29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10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29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10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29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10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29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1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29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10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29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10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10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29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10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29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10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29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10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29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10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10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29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10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29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1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29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10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29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10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29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10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29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10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29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10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10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29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10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29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10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29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10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29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 s="10">
        <f t="shared" si="181"/>
        <v>50</v>
      </c>
      <c r="Q2370" s="12" t="s">
        <v>8317</v>
      </c>
      <c r="R2370" t="s">
        <v>8318</v>
      </c>
      <c r="S2370" s="16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29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 s="10">
        <f t="shared" ref="P2371:P2434" si="186">IFERROR(ROUND(E2371/L2371,2),0)</f>
        <v>0</v>
      </c>
      <c r="Q2371" s="12" t="s">
        <v>8317</v>
      </c>
      <c r="R2371" t="s">
        <v>8318</v>
      </c>
      <c r="S2371" s="16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29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10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29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10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29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10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10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29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10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29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10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29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10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29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10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29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1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10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29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10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29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10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29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10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29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10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29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10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29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10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29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0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29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10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29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1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29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10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29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10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10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29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10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29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10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29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10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29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10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29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10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29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0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29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1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29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10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29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10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29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10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10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29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10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29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10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29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10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29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10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29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10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29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29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10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29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10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29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10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29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10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29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10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29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10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29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10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29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10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29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10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1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29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10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29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10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10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10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29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10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10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29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10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29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10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10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1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29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10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29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10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10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29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 s="10">
        <f t="shared" si="186"/>
        <v>1</v>
      </c>
      <c r="Q2434" s="12" t="s">
        <v>8334</v>
      </c>
      <c r="R2434" t="s">
        <v>8335</v>
      </c>
      <c r="S2434" s="16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29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 s="10">
        <f t="shared" ref="P2435:P2498" si="191">IFERROR(ROUND(E2435/L2435,2),0)</f>
        <v>0</v>
      </c>
      <c r="Q2435" s="12" t="s">
        <v>8334</v>
      </c>
      <c r="R2435" t="s">
        <v>8335</v>
      </c>
      <c r="S2435" s="16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29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10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29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10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29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10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29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10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1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29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10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10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10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10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29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10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29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10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29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10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29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10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29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10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29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1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29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10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29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10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29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10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29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10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29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10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29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10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29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10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29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10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29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10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29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1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29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10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29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10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29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10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29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10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10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29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10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10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29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10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29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10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29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1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29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10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29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10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29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10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29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10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29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10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29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10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10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29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10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10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29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1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10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29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10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29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10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29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10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29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10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29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10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29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10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29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10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29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10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29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1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29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10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29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10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29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10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29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10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29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10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29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10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 s="10">
        <f t="shared" si="191"/>
        <v>600</v>
      </c>
      <c r="Q2498" s="12" t="s">
        <v>8323</v>
      </c>
      <c r="R2498" t="s">
        <v>8327</v>
      </c>
      <c r="S2498" s="16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29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 s="10">
        <f t="shared" ref="P2499:P2562" si="196">IFERROR(ROUND(E2499/L2499,2),0)</f>
        <v>80.55</v>
      </c>
      <c r="Q2499" s="12" t="s">
        <v>8323</v>
      </c>
      <c r="R2499" t="s">
        <v>8327</v>
      </c>
      <c r="S2499" s="16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29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1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29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10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29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10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29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10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29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10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29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10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10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43.5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10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29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10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10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29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29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10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29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10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29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10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29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10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29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0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29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10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29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10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29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10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29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10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29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1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10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29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10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29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10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29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10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29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10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9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10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29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10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29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10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29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10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29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1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10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29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10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29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10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29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10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29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10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29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10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10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29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10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29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10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1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29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10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29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10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29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10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29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10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29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10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29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10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29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10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29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10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29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10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29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1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29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10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29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10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29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10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29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10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29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10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29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10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29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10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29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10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10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29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1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29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10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29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 s="10">
        <f t="shared" si="196"/>
        <v>143</v>
      </c>
      <c r="Q2562" s="12" t="s">
        <v>8323</v>
      </c>
      <c r="R2562" t="s">
        <v>8352</v>
      </c>
      <c r="S2562" s="16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29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 s="10">
        <f t="shared" ref="P2563:P2626" si="201">IFERROR(ROUND(E2563/L2563,2),0)</f>
        <v>0</v>
      </c>
      <c r="Q2563" s="12" t="s">
        <v>8334</v>
      </c>
      <c r="R2563" t="s">
        <v>8335</v>
      </c>
      <c r="S2563" s="16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3.5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10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10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29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10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29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10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29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10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29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10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29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1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29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10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29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10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29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10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29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10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29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10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29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10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29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10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10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29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10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29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1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29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10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29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10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29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10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10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29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10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10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29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10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10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29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10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29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1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29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10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29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10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29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10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29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10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29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10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29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10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10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29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10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29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10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29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1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10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29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10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29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10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29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10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10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29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10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29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10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43.5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10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29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10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29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29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10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10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29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10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29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10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29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10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29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10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29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10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29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10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29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10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1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29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10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29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10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29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10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29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10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29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10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29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 s="10">
        <f t="shared" si="201"/>
        <v>31.82</v>
      </c>
      <c r="Q2626" s="12" t="s">
        <v>8317</v>
      </c>
      <c r="R2626" t="s">
        <v>8353</v>
      </c>
      <c r="S2626" s="16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29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 s="10">
        <f t="shared" ref="P2627:P2690" si="206">IFERROR(ROUND(E2627/L2627,2),0)</f>
        <v>27.58</v>
      </c>
      <c r="Q2627" s="12" t="s">
        <v>8317</v>
      </c>
      <c r="R2627" t="s">
        <v>8353</v>
      </c>
      <c r="S2627" s="16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29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10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29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10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1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10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29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10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29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10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29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10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29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10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29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10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29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10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29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10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10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29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1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29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10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43.5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10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10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29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10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29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10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29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10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29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10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29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10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29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10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29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1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10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29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10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29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10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29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10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29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10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29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10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10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10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29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10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29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1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10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29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10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29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10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29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10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29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10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29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10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29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10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29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10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29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10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1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29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10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29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10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29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10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29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10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29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10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29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10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29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10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29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10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29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10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29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1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29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10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10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29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10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29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10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29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10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29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10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29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10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29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10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29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10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 s="10">
        <f t="shared" si="206"/>
        <v>5.29</v>
      </c>
      <c r="Q2690" s="12" t="s">
        <v>8334</v>
      </c>
      <c r="R2690" t="s">
        <v>8335</v>
      </c>
      <c r="S2690" s="16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29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 s="10">
        <f t="shared" ref="P2691:P2754" si="211">IFERROR(ROUND(E2691/L2691,2),0)</f>
        <v>1</v>
      </c>
      <c r="Q2691" s="12" t="s">
        <v>8334</v>
      </c>
      <c r="R2691" t="s">
        <v>8335</v>
      </c>
      <c r="S2691" s="16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29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10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10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10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29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10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29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10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29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10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29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10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29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10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29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1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29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10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29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10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29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10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29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10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10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29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10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10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29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10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29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10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29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29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10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10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29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10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29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10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29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10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10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29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10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43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10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29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10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29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1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29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10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29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10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29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10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29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10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29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10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29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10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10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10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29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10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1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10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29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10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29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10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29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10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29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10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29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10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29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10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43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10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29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10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29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1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29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10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29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10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10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29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10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29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10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29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10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29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10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29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10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29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10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29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1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10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29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10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29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10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29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 s="10">
        <f t="shared" si="211"/>
        <v>39.29</v>
      </c>
      <c r="Q2754" s="12" t="s">
        <v>8320</v>
      </c>
      <c r="R2754" t="s">
        <v>8356</v>
      </c>
      <c r="S2754" s="16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29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 s="10">
        <f t="shared" ref="P2755:P2818" si="216">IFERROR(ROUND(E2755/L2755,2),0)</f>
        <v>47.5</v>
      </c>
      <c r="Q2755" s="12" t="s">
        <v>8320</v>
      </c>
      <c r="R2755" t="s">
        <v>8356</v>
      </c>
      <c r="S2755" s="16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29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10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29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10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29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10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10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29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1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29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10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29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10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10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29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10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10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29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10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29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10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29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10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29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10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29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1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29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10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29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10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29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10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29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10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29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10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29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10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29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10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29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10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29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10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29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1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29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10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10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29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10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10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29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10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29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10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29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10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10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29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10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29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1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10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29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10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29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10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29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10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43.5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10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29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10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29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10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29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10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29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10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29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1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29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10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29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10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29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10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29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10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29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10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29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10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29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10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29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10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10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29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29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10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29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10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29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10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29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10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29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10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29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10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29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10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29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 s="10">
        <f t="shared" si="216"/>
        <v>25.13</v>
      </c>
      <c r="Q2818" s="12" t="s">
        <v>8315</v>
      </c>
      <c r="R2818" t="s">
        <v>8316</v>
      </c>
      <c r="S2818" s="16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29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 s="10">
        <f t="shared" ref="P2819:P2882" si="221">IFERROR(ROUND(E2819/L2819,2),0)</f>
        <v>23.64</v>
      </c>
      <c r="Q2819" s="12" t="s">
        <v>8315</v>
      </c>
      <c r="R2819" t="s">
        <v>8316</v>
      </c>
      <c r="S2819" s="16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29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1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29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10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29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10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29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10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29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10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29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10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29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10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29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10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29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10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29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10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29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1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29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10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10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29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10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29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10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10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29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10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29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10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29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10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29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10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29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1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29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10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29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10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29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10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29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10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29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10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29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10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29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10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29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10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29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10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29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1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29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10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29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10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29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10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29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10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29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10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29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10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29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10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29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10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43.5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10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29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1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10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29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10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29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10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29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10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29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10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10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29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10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29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10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29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10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29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1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29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10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29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10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29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10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10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29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10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29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10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29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10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29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10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10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29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1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29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10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29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 s="10">
        <f t="shared" si="221"/>
        <v>96.55</v>
      </c>
      <c r="Q2882" s="12" t="s">
        <v>8315</v>
      </c>
      <c r="R2882" t="s">
        <v>8316</v>
      </c>
      <c r="S2882" s="16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29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 s="10">
        <f t="shared" ref="P2883:P2946" si="226">IFERROR(ROUND(E2883/L2883,2),0)</f>
        <v>0</v>
      </c>
      <c r="Q2883" s="12" t="s">
        <v>8315</v>
      </c>
      <c r="R2883" t="s">
        <v>8316</v>
      </c>
      <c r="S2883" s="16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29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10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29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10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10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10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29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10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29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10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29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1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29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10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29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10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29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10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29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10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10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0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29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10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29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10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29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10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29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1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29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10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29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10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29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10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29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10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29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10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29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10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29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10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29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10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29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10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29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29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10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29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10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29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10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29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10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29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10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10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29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10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29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10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29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10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29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1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29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10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29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10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10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29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10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29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10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29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10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29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10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29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10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29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10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1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29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10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29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10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29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10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29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10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29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10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29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10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29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10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29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10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10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29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1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29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10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29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10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29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10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29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10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29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10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29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 s="10">
        <f t="shared" si="226"/>
        <v>100</v>
      </c>
      <c r="Q2946" s="12" t="s">
        <v>8315</v>
      </c>
      <c r="R2946" t="s">
        <v>8355</v>
      </c>
      <c r="S2946" s="16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29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 s="10">
        <f t="shared" ref="P2947:P3010" si="231">IFERROR(ROUND(E2947/L2947,2),0)</f>
        <v>0</v>
      </c>
      <c r="Q2947" s="12" t="s">
        <v>8315</v>
      </c>
      <c r="R2947" t="s">
        <v>8355</v>
      </c>
      <c r="S2947" s="16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29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10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29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10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29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1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29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10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29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10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29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10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29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10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29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10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29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10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10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29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10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29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10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29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1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29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10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29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10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29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10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29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10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29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10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29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0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29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10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29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10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29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10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1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29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10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29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10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29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10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10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29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10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29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10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29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29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10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29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10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29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1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29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10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29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10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29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10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10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29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10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29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10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29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10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29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10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29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10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29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1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10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29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10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29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10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29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10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10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29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10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29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10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10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29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10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29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1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29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10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29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10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29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10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10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29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10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29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10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29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10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10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10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29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 s="10">
        <f t="shared" si="231"/>
        <v>116.73</v>
      </c>
      <c r="Q3010" s="12" t="s">
        <v>8315</v>
      </c>
      <c r="R3010" t="s">
        <v>8355</v>
      </c>
      <c r="S3010" s="16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29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 s="10">
        <f t="shared" ref="P3011:P3074" si="236">IFERROR(ROUND(E3011/L3011,2),0)</f>
        <v>233.9</v>
      </c>
      <c r="Q3011" s="12" t="s">
        <v>8315</v>
      </c>
      <c r="R3011" t="s">
        <v>8355</v>
      </c>
      <c r="S3011" s="16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29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10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29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10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29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10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29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10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29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10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29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10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29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10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29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10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29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1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29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10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29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10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29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10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29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10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29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10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29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10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29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10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29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10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29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10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1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29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10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29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10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58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10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29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10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29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10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58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10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10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29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10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29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10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29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1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29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10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29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10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10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29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10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29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10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29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10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29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10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29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10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29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10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29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1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29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10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10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29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10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29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10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29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10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29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10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29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10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29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10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29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10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29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1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29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10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10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29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10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29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10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10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29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10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29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10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29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10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29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1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29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10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29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10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29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10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29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 s="10">
        <f t="shared" si="236"/>
        <v>1</v>
      </c>
      <c r="Q3074" s="12" t="s">
        <v>8315</v>
      </c>
      <c r="R3074" t="s">
        <v>8355</v>
      </c>
      <c r="S3074" s="16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29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 s="10">
        <f t="shared" ref="P3075:P3138" si="241">IFERROR(ROUND(E3075/L3075,2),0)</f>
        <v>92.14</v>
      </c>
      <c r="Q3075" s="12" t="s">
        <v>8315</v>
      </c>
      <c r="R3075" t="s">
        <v>8355</v>
      </c>
      <c r="S3075" s="16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43.5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10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29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10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10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29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10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29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1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29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10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29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10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29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10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29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10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43.5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10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29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10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29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10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29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10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29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10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29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1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29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10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29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10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29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10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29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10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29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10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29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10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29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10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29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10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29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10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29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1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29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10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29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10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29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10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29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10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10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29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10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29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10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29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10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29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10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29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10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29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10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29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10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29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10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29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10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29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10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29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10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29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10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29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10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1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29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10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29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10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10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10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29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10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29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10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10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58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10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29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10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29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1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29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10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29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10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10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10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29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10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29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10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29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10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29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 s="10">
        <f t="shared" si="241"/>
        <v>29.05</v>
      </c>
      <c r="Q3138" s="12" t="s">
        <v>8315</v>
      </c>
      <c r="R3138" t="s">
        <v>8316</v>
      </c>
      <c r="S3138" s="16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 s="10">
        <f t="shared" ref="P3139:P3202" si="246">IFERROR(ROUND(E3139/L3139,2),0)</f>
        <v>50</v>
      </c>
      <c r="Q3139" s="12" t="s">
        <v>8315</v>
      </c>
      <c r="R3139" t="s">
        <v>8316</v>
      </c>
      <c r="S3139" s="16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29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1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29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10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29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10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29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10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29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10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29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10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29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10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29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10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29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10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29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10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1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29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10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29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10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29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10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29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10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29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10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29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10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29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10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29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10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10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1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29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10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29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10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29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10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29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10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29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10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29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10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29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10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29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10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10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29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1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10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29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10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29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10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29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10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29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10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29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10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29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10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29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10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29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10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29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1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10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29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10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29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10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43.5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10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29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10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29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10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29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10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29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10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29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10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29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1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29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10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29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10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29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10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29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10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29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10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29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10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29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10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29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10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10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29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1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29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10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29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 s="10">
        <f t="shared" si="246"/>
        <v>1</v>
      </c>
      <c r="Q3202" s="12" t="s">
        <v>8315</v>
      </c>
      <c r="R3202" t="s">
        <v>8357</v>
      </c>
      <c r="S3202" s="16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29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 s="10">
        <f t="shared" ref="P3203:P3266" si="251">IFERROR(ROUND(E3203/L3203,2),0)</f>
        <v>12.5</v>
      </c>
      <c r="Q3203" s="12" t="s">
        <v>8315</v>
      </c>
      <c r="R3203" t="s">
        <v>8357</v>
      </c>
      <c r="S3203" s="16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29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10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29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10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29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10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29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10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29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10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29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10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29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29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10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29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10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29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10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10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29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10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29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10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10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29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10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10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29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1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10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10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29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10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29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10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10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29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10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29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10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29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10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29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10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1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29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10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29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10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29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10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29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10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29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10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29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10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29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10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29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10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10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29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1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29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10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29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10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29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10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29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10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29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10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29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10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29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10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29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10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29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10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1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29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10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29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10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29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10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29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10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29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10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29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10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43.5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10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29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10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29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10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29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1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29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10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29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10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29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10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10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10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 s="10">
        <f t="shared" si="251"/>
        <v>52.55</v>
      </c>
      <c r="Q3266" s="12" t="s">
        <v>8315</v>
      </c>
      <c r="R3266" t="s">
        <v>8316</v>
      </c>
      <c r="S3266" s="16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29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 s="10">
        <f t="shared" ref="P3267:P3330" si="256">IFERROR(ROUND(E3267/L3267,2),0)</f>
        <v>70.290000000000006</v>
      </c>
      <c r="Q3267" s="12" t="s">
        <v>8315</v>
      </c>
      <c r="R3267" t="s">
        <v>8316</v>
      </c>
      <c r="S3267" s="16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29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10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29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10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29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1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29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10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29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10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10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29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10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29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10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29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10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29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10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29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10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29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10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29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1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29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10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29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10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10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29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10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29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10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29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10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10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29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10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10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29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1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29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10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43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10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29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10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29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10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29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10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29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10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29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10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29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10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29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10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29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1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29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10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29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10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29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10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10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29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10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29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10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29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10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29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10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29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10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29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10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10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29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10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29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10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29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10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29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10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29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10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43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10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29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10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1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29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10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29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10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29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10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29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10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29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10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29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10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29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10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29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10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29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10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29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 s="10">
        <f t="shared" si="256"/>
        <v>292.77999999999997</v>
      </c>
      <c r="Q3330" s="12" t="s">
        <v>8315</v>
      </c>
      <c r="R3330" t="s">
        <v>8316</v>
      </c>
      <c r="S3330" s="16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29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 s="10">
        <f t="shared" ref="P3331:P3394" si="261">IFERROR(ROUND(E3331/L3331,2),0)</f>
        <v>44.92</v>
      </c>
      <c r="Q3331" s="12" t="s">
        <v>8315</v>
      </c>
      <c r="R3331" t="s">
        <v>8316</v>
      </c>
      <c r="S3331" s="16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29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10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29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10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29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10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29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10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10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29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10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29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10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29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10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1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29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10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29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10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29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10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29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10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29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10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29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10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29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10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29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10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29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10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29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1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29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10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29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10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29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10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29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10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29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10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9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10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29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10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29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10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29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10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29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1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29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10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10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29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10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29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10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29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10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29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10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29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10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29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10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29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10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29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1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29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10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10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10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29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10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29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10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29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10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29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10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29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10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29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10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29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1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29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10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29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10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29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10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29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10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29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10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29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10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29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10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29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10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29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10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29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1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29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10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29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10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29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10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29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 s="10">
        <f t="shared" si="261"/>
        <v>41.67</v>
      </c>
      <c r="Q3394" s="12" t="s">
        <v>8315</v>
      </c>
      <c r="R3394" t="s">
        <v>8316</v>
      </c>
      <c r="S3394" s="16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29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 s="10">
        <f t="shared" ref="P3395:P3458" si="266">IFERROR(ROUND(E3395/L3395,2),0)</f>
        <v>36.07</v>
      </c>
      <c r="Q3395" s="12" t="s">
        <v>8315</v>
      </c>
      <c r="R3395" t="s">
        <v>8316</v>
      </c>
      <c r="S3395" s="16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29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10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10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29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10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10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29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1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29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10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29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10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29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10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29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10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29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10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29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10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29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10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29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10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43.5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10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29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29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10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29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10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29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10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29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10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29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10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29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10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29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10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29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10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29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10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29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1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29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10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29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10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29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10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29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10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29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10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29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10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29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10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29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10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29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10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29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1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29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10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29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10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29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10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29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10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29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10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29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10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29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10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29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10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29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10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29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1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10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29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10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29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10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29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10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29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10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29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10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29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10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29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10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10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29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1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29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10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29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10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29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10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29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10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29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10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29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10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29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10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29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 s="10">
        <f t="shared" si="266"/>
        <v>358.69</v>
      </c>
      <c r="Q3458" s="12" t="s">
        <v>8315</v>
      </c>
      <c r="R3458" t="s">
        <v>8316</v>
      </c>
      <c r="S3458" s="16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 s="10">
        <f t="shared" ref="P3459:P3522" si="271">IFERROR(ROUND(E3459/L3459,2),0)</f>
        <v>50.98</v>
      </c>
      <c r="Q3459" s="12" t="s">
        <v>8315</v>
      </c>
      <c r="R3459" t="s">
        <v>8316</v>
      </c>
      <c r="S3459" s="16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29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1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29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10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29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10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29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10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29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10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29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10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29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10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29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10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29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10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10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29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1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29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10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10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29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10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29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10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29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10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29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10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29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10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29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10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29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10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29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1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29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10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29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10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29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10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29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10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29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10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29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10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29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10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29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10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29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10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29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1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29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10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29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10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29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10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29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10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29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10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29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10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29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10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29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10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29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10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29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1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29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10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29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10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29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10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29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10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29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10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29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10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72.5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10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29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10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29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10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29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29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10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29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10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29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10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29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10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29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10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29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10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29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10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29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10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29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10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29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1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29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10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29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 s="10">
        <f t="shared" si="271"/>
        <v>95.95</v>
      </c>
      <c r="Q3522" s="12" t="s">
        <v>8315</v>
      </c>
      <c r="R3522" t="s">
        <v>8316</v>
      </c>
      <c r="S3522" s="16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29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 s="10">
        <f t="shared" ref="P3523:P3586" si="276">IFERROR(ROUND(E3523/L3523,2),0)</f>
        <v>45.62</v>
      </c>
      <c r="Q3523" s="12" t="s">
        <v>8315</v>
      </c>
      <c r="R3523" t="s">
        <v>8316</v>
      </c>
      <c r="S3523" s="16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29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10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29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10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29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10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29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10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29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10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29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10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29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1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29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10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29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10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10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29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10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29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10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29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10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29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10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29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10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29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10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29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1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29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10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29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10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29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10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29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10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29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10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10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29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10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29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10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29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10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29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1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29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10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29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10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29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10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29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10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29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10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29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10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29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10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29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10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29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10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29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1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29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10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29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10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01.5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10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29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10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29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10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10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29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10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29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10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29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10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29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1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29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10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29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10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29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10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10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29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10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29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10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29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10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29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10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29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10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29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1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29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10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29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10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29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10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29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10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29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10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58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 s="10">
        <f t="shared" si="276"/>
        <v>30.94</v>
      </c>
      <c r="Q3586" s="12" t="s">
        <v>8315</v>
      </c>
      <c r="R3586" t="s">
        <v>8316</v>
      </c>
      <c r="S3586" s="16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29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 s="10">
        <f t="shared" ref="P3587:P3650" si="281">IFERROR(ROUND(E3587/L3587,2),0)</f>
        <v>176.09</v>
      </c>
      <c r="Q3587" s="12" t="s">
        <v>8315</v>
      </c>
      <c r="R3587" t="s">
        <v>8316</v>
      </c>
      <c r="S3587" s="16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10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29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10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29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1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29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10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29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10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29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10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29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10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29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10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29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10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10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29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10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10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29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1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29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10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10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29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10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29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10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29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10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29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10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29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10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29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10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10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29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29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10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29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10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29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10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29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10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29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10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29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10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29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10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29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10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29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10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29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1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29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10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29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10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29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10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10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10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58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10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29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10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29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10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29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10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29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1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29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10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29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29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10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29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10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29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10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29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10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10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29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10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29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10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1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29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10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43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10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29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10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43.5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10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29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10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29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10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29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29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10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29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10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 s="10">
        <f t="shared" si="281"/>
        <v>550.04</v>
      </c>
      <c r="Q3650" s="12" t="s">
        <v>8315</v>
      </c>
      <c r="R3650" t="s">
        <v>8316</v>
      </c>
      <c r="S3650" s="16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29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 s="10">
        <f t="shared" ref="P3651:P3714" si="286">IFERROR(ROUND(E3651/L3651,2),0)</f>
        <v>97.5</v>
      </c>
      <c r="Q3651" s="12" t="s">
        <v>8315</v>
      </c>
      <c r="R3651" t="s">
        <v>8316</v>
      </c>
      <c r="S3651" s="16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29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10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29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10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29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10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29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10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29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10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29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10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29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10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29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10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1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29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10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29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10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29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10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29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10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29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10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29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10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29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10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10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29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10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29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1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29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10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29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10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29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10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29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10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29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10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29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10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29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10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29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10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29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10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29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1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29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10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29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10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29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10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29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10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29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10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29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10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29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10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29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10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29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10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29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1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29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10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29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10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10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10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29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10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29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10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29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10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29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10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29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10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29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1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29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10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10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29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10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29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10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29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10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29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10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29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10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29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10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29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10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29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29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10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10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10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29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 s="10">
        <f t="shared" si="286"/>
        <v>110.87</v>
      </c>
      <c r="Q3714" s="12" t="s">
        <v>8315</v>
      </c>
      <c r="R3714" t="s">
        <v>8316</v>
      </c>
      <c r="S3714" s="16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29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 s="10">
        <f t="shared" ref="P3715:P3778" si="291">IFERROR(ROUND(E3715/L3715,2),0)</f>
        <v>106.84</v>
      </c>
      <c r="Q3715" s="12" t="s">
        <v>8315</v>
      </c>
      <c r="R3715" t="s">
        <v>8316</v>
      </c>
      <c r="S3715" s="16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29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10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29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10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29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10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29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10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29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1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10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10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29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10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29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10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10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29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10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29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10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29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10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29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10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29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1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29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10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29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10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29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10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29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10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29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10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29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10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10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29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10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29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10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9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1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29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10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29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10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29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10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29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10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10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29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10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29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10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10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10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29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1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29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10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72.5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10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29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10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29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10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29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10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29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10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29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10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29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10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29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10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1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10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29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10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29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10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29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10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10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29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10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29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10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29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10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29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10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29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1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29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10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29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10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10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29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10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10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29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10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29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10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29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 s="10">
        <f t="shared" si="291"/>
        <v>90.82</v>
      </c>
      <c r="Q3778" s="12" t="s">
        <v>8315</v>
      </c>
      <c r="R3778" t="s">
        <v>8357</v>
      </c>
      <c r="S3778" s="16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29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 s="10">
        <f t="shared" ref="P3779:P3842" si="296">IFERROR(ROUND(E3779/L3779,2),0)</f>
        <v>48.54</v>
      </c>
      <c r="Q3779" s="12" t="s">
        <v>8315</v>
      </c>
      <c r="R3779" t="s">
        <v>8357</v>
      </c>
      <c r="S3779" s="16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1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10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29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10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29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10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29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10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29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10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29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10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29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10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29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10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29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10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58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1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29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10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29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10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10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10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29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10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29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10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29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10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29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10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29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10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29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1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29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10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29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10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29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10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29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10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10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29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10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29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10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29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10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29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10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29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29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10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29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10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29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10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29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10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29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10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29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10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10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43.5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10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29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10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29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1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29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10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29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10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29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10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29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10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29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10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29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10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29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10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10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29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10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29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1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29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10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29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10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29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10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29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10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29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10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29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10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29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10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29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10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10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43.5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1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29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10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29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 s="10">
        <f t="shared" si="296"/>
        <v>21.67</v>
      </c>
      <c r="Q3842" s="12" t="s">
        <v>8315</v>
      </c>
      <c r="R3842" t="s">
        <v>8316</v>
      </c>
      <c r="S3842" s="16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29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 s="10">
        <f t="shared" ref="P3843:P3906" si="301">IFERROR(ROUND(E3843/L3843,2),0)</f>
        <v>25.65</v>
      </c>
      <c r="Q3843" s="12" t="s">
        <v>8315</v>
      </c>
      <c r="R3843" t="s">
        <v>8316</v>
      </c>
      <c r="S3843" s="16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29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10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29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10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29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10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43.5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10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29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10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29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10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29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1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29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10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10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29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10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29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10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10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10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43.5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10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29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10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29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10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29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1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29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10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29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10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10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10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29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10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29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10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29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10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10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29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10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1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10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29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10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10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29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10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29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10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29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10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29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10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29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10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29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10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29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1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29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29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10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10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29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10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29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10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29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10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29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10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10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29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10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29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1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29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10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29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10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10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29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29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10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29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10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29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10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29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10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29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10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29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1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29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10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29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10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29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10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29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10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29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10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 s="10">
        <f t="shared" si="301"/>
        <v>1.5</v>
      </c>
      <c r="Q3906" s="12" t="s">
        <v>8315</v>
      </c>
      <c r="R3906" t="s">
        <v>8316</v>
      </c>
      <c r="S3906" s="16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29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 s="10">
        <f t="shared" ref="P3907:P3970" si="306">IFERROR(ROUND(E3907/L3907,2),0)</f>
        <v>24.71</v>
      </c>
      <c r="Q3907" s="12" t="s">
        <v>8315</v>
      </c>
      <c r="R3907" t="s">
        <v>8316</v>
      </c>
      <c r="S3907" s="16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29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10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29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10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29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29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10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29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10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29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10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29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10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29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10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29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10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29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10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29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10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29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10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29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1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29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10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29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10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29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10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29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10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29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10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29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10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29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10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10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29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10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29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1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29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10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29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10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29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10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29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10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29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10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29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10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29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10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29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10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29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10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29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1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29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10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29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10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29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10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29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10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29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10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29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10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29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10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10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29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10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29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1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29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10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29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10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29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10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29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10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29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10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29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10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29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10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29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10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29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10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29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1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29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10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29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10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29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10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29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10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29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10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29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10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29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10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29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10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29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10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29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 s="10">
        <f t="shared" si="306"/>
        <v>47.91</v>
      </c>
      <c r="Q3970" s="12" t="s">
        <v>8315</v>
      </c>
      <c r="R3970" t="s">
        <v>8316</v>
      </c>
      <c r="S3970" s="16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29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 s="10">
        <f t="shared" ref="P3971:P4034" si="311">IFERROR(ROUND(E3971/L3971,2),0)</f>
        <v>35.17</v>
      </c>
      <c r="Q3971" s="12" t="s">
        <v>8315</v>
      </c>
      <c r="R3971" t="s">
        <v>8316</v>
      </c>
      <c r="S3971" s="16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29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10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29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10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29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10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29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10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29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10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29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29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10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29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10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29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1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29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10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29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10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29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10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43.5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10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29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10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29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10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29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10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29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10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29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10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1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29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10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29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10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10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29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10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29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10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29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10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29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10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29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10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29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10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29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1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29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10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10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29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10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29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10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29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10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10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29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10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29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10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29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10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29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29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10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29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10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29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10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29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10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29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10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29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10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29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10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29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10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29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10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1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29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10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29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10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29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10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10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29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29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10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29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10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29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29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10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29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1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29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29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10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29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29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 s="10">
        <f t="shared" si="311"/>
        <v>59</v>
      </c>
      <c r="Q4034" s="12" t="s">
        <v>8315</v>
      </c>
      <c r="R4034" t="s">
        <v>8316</v>
      </c>
      <c r="S4034" s="16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29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 s="10">
        <f t="shared" ref="P4035:P4098" si="316">IFERROR(ROUND(E4035/L4035,2),0)</f>
        <v>65.34</v>
      </c>
      <c r="Q4035" s="12" t="s">
        <v>8315</v>
      </c>
      <c r="R4035" t="s">
        <v>8316</v>
      </c>
      <c r="S4035" s="16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29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10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10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29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10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29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10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29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1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29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10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29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10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10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29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10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29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10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29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10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29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10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29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10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29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10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29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1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29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10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29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10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29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43.5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10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29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10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29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10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29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10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29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10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29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10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29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1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29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10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29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10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29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10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29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10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29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10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10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29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10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29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10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29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1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29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10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29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10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29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10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29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10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29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10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29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10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29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10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29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29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10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29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29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10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29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29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10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29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10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29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10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29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10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29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10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29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10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29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1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29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10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29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10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29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10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29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10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29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10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29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10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29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10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29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 s="10">
        <f t="shared" si="316"/>
        <v>80</v>
      </c>
      <c r="Q4098" s="12" t="s">
        <v>8315</v>
      </c>
      <c r="R4098" t="s">
        <v>8316</v>
      </c>
      <c r="S4098" s="16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29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8315</v>
      </c>
      <c r="R4099" t="s">
        <v>8316</v>
      </c>
      <c r="S4099" s="16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29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29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10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29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29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29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10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29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10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29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10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29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10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29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10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29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10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29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29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29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10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29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10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29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10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29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10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5">
      <filters>
        <filter val="canceled"/>
        <filter val="failed"/>
        <filter val="successful"/>
      </filters>
    </filterColumn>
    <filterColumn colId="17">
      <filters>
        <filter val="plays"/>
      </filters>
    </filterColumn>
  </autoFilter>
  <conditionalFormatting sqref="O1:O1048576 P1 R1:T1">
    <cfRule type="colorScale" priority="1">
      <colorScale>
        <cfvo type="min"/>
        <cfvo type="max"/>
        <color rgb="FFFF0000"/>
        <color theme="4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FF059F-E115-4AE3-9BA7-9A1BF30EB1E4}">
  <sheetPr codeName="Sheet4"/>
  <dimension ref="A1:F6"/>
  <sheetViews>
    <sheetView workbookViewId="0">
      <selection activeCell="N11" sqref="N11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81640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8364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D85-F3CD-4A79-A9B5-47C2AFF4A7DF}">
  <sheetPr codeName="Sheet5"/>
  <dimension ref="A1:F18"/>
  <sheetViews>
    <sheetView workbookViewId="0">
      <selection activeCell="F26" sqref="F26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81640625" bestFit="1" customWidth="1"/>
  </cols>
  <sheetData>
    <row r="1" spans="1:6" x14ac:dyDescent="0.35">
      <c r="A1" s="13" t="s">
        <v>8359</v>
      </c>
      <c r="B1" t="s">
        <v>8315</v>
      </c>
    </row>
    <row r="2" spans="1:6" x14ac:dyDescent="0.35">
      <c r="A2" s="13" t="s">
        <v>8379</v>
      </c>
      <c r="B2" t="s">
        <v>8362</v>
      </c>
    </row>
    <row r="4" spans="1:6" x14ac:dyDescent="0.35">
      <c r="A4" s="13" t="s">
        <v>8363</v>
      </c>
      <c r="B4" s="13" t="s">
        <v>8364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8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8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8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8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8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8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8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8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8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8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8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8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8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5810C-8881-4CBA-866E-75A7FA0D0FCA}">
  <sheetPr codeName="Sheet7"/>
  <dimension ref="A1:C14"/>
  <sheetViews>
    <sheetView tabSelected="1" workbookViewId="0">
      <selection activeCell="A2" sqref="A2"/>
    </sheetView>
  </sheetViews>
  <sheetFormatPr defaultRowHeight="14.5" x14ac:dyDescent="0.35"/>
  <cols>
    <col min="1" max="1" width="28.6328125" customWidth="1"/>
    <col min="2" max="2" width="16.08984375" customWidth="1"/>
    <col min="3" max="3" width="11.08984375" bestFit="1" customWidth="1"/>
  </cols>
  <sheetData>
    <row r="1" spans="1:3" x14ac:dyDescent="0.35">
      <c r="B1" t="s">
        <v>8383</v>
      </c>
      <c r="C1" t="s">
        <v>8384</v>
      </c>
    </row>
    <row r="2" spans="1:3" x14ac:dyDescent="0.35">
      <c r="A2" t="s">
        <v>8385</v>
      </c>
      <c r="B2" s="6" t="e">
        <f>AVERAGE(#REF!)</f>
        <v>#REF!</v>
      </c>
      <c r="C2" s="6" t="e">
        <f>AVERAGE(#REF!)</f>
        <v>#REF!</v>
      </c>
    </row>
    <row r="3" spans="1:3" x14ac:dyDescent="0.35">
      <c r="A3" t="s">
        <v>8386</v>
      </c>
      <c r="B3" s="6" t="e">
        <f>MEDIAN(#REF!)</f>
        <v>#REF!</v>
      </c>
      <c r="C3" s="6" t="e">
        <f>MEDIAN(#REF!)</f>
        <v>#REF!</v>
      </c>
    </row>
    <row r="4" spans="1:3" ht="17.5" customHeight="1" x14ac:dyDescent="0.35">
      <c r="A4" t="s">
        <v>8389</v>
      </c>
      <c r="B4" s="8" t="e">
        <f>_xlfn.STDEV.P(#REF!)</f>
        <v>#REF!</v>
      </c>
      <c r="C4" s="8" t="e">
        <f>_xlfn.STDEV.P(#REF!)</f>
        <v>#REF!</v>
      </c>
    </row>
    <row r="5" spans="1:3" ht="17.5" customHeight="1" x14ac:dyDescent="0.35">
      <c r="A5" t="s">
        <v>8390</v>
      </c>
      <c r="B5" s="8" t="e">
        <f>_xlfn.QUARTILE.EXC(#REF!, 3)</f>
        <v>#REF!</v>
      </c>
      <c r="C5" s="8" t="e">
        <f>_xlfn.QUARTILE.EXC(#REF!, 3)</f>
        <v>#REF!</v>
      </c>
    </row>
    <row r="6" spans="1:3" ht="17.5" customHeight="1" x14ac:dyDescent="0.35">
      <c r="A6" t="s">
        <v>8391</v>
      </c>
      <c r="B6" s="8" t="e">
        <f>_xlfn.QUARTILE.EXC(#REF!, 1)</f>
        <v>#REF!</v>
      </c>
      <c r="C6" s="8" t="e">
        <f>_xlfn.QUARTILE.EXC(#REF!, 1)</f>
        <v>#REF!</v>
      </c>
    </row>
    <row r="7" spans="1:3" ht="17.5" customHeight="1" x14ac:dyDescent="0.35">
      <c r="A7" t="s">
        <v>8392</v>
      </c>
      <c r="B7" s="8" t="e">
        <f>B5-B6</f>
        <v>#REF!</v>
      </c>
      <c r="C7" s="8" t="e">
        <f>C5-C6</f>
        <v>#REF!</v>
      </c>
    </row>
    <row r="8" spans="1:3" ht="17.5" customHeight="1" x14ac:dyDescent="0.35"/>
    <row r="9" spans="1:3" x14ac:dyDescent="0.35">
      <c r="A9" t="s">
        <v>8387</v>
      </c>
      <c r="B9" s="6" t="e">
        <f>AVERAGE(#REF!)</f>
        <v>#REF!</v>
      </c>
      <c r="C9" s="6" t="e">
        <f>AVERAGE(#REF!)</f>
        <v>#REF!</v>
      </c>
    </row>
    <row r="10" spans="1:3" x14ac:dyDescent="0.35">
      <c r="A10" t="s">
        <v>8388</v>
      </c>
      <c r="B10" s="6" t="e">
        <f>MEDIAN(#REF!)</f>
        <v>#REF!</v>
      </c>
      <c r="C10" s="6" t="e">
        <f>MEDIAN(#REF!)</f>
        <v>#REF!</v>
      </c>
    </row>
    <row r="11" spans="1:3" x14ac:dyDescent="0.35">
      <c r="A11" t="s">
        <v>8393</v>
      </c>
      <c r="B11" s="8" t="e">
        <f>_xlfn.STDEV.P(#REF!)</f>
        <v>#REF!</v>
      </c>
      <c r="C11" s="8" t="e">
        <f>_xlfn.STDEV.P(#REF!)</f>
        <v>#REF!</v>
      </c>
    </row>
    <row r="12" spans="1:3" x14ac:dyDescent="0.35">
      <c r="A12" t="s">
        <v>8394</v>
      </c>
      <c r="B12" s="8" t="e">
        <f>_xlfn.QUARTILE.EXC(#REF!, 3)</f>
        <v>#REF!</v>
      </c>
      <c r="C12" s="8" t="e">
        <f>_xlfn.QUARTILE.EXC(#REF!, 3)</f>
        <v>#REF!</v>
      </c>
    </row>
    <row r="13" spans="1:3" x14ac:dyDescent="0.35">
      <c r="A13" t="s">
        <v>8395</v>
      </c>
      <c r="B13" s="8" t="e">
        <f>_xlfn.QUARTILE.EXC(#REF!, 1)</f>
        <v>#REF!</v>
      </c>
      <c r="C13" s="8" t="e">
        <f>_xlfn.QUARTILE.EXC(#REF!, 1)</f>
        <v>#REF!</v>
      </c>
    </row>
    <row r="14" spans="1:3" x14ac:dyDescent="0.35">
      <c r="A14" t="s">
        <v>8396</v>
      </c>
      <c r="B14" s="8" t="e">
        <f>B12-B13</f>
        <v>#REF!</v>
      </c>
      <c r="C14" s="8" t="e">
        <f>C12-C13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19DF5-3F7B-4551-905F-1C55E162A9CB}">
  <sheetPr codeName="Sheet9"/>
  <dimension ref="A1:F47"/>
  <sheetViews>
    <sheetView topLeftCell="A25" workbookViewId="0">
      <selection activeCell="F9" sqref="F9"/>
    </sheetView>
  </sheetViews>
  <sheetFormatPr defaultRowHeight="14.5" x14ac:dyDescent="0.35"/>
  <cols>
    <col min="1" max="1" width="17" bestFit="1" customWidth="1"/>
    <col min="2" max="2" width="15.179687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81640625" bestFit="1" customWidth="1"/>
  </cols>
  <sheetData>
    <row r="1" spans="1:6" x14ac:dyDescent="0.35">
      <c r="A1" s="13" t="s">
        <v>8359</v>
      </c>
      <c r="B1" t="s">
        <v>8362</v>
      </c>
    </row>
    <row r="2" spans="1:6" x14ac:dyDescent="0.35">
      <c r="A2" s="13" t="s">
        <v>8222</v>
      </c>
      <c r="B2" t="s">
        <v>8223</v>
      </c>
    </row>
    <row r="4" spans="1:6" x14ac:dyDescent="0.35">
      <c r="A4" s="13" t="s">
        <v>8363</v>
      </c>
      <c r="B4" s="13" t="s">
        <v>8364</v>
      </c>
    </row>
    <row r="5" spans="1:6" x14ac:dyDescent="0.3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4" t="s">
        <v>8314</v>
      </c>
      <c r="B6" s="10"/>
      <c r="C6" s="10">
        <v>78</v>
      </c>
      <c r="D6" s="10"/>
      <c r="E6" s="10"/>
      <c r="F6" s="10">
        <v>78</v>
      </c>
    </row>
    <row r="7" spans="1:6" x14ac:dyDescent="0.35">
      <c r="A7" s="14" t="s">
        <v>8342</v>
      </c>
      <c r="B7" s="10">
        <v>16</v>
      </c>
      <c r="C7" s="10"/>
      <c r="D7" s="10"/>
      <c r="E7" s="10"/>
      <c r="F7" s="10">
        <v>16</v>
      </c>
    </row>
    <row r="8" spans="1:6" x14ac:dyDescent="0.35">
      <c r="A8" s="14" t="s">
        <v>8330</v>
      </c>
      <c r="B8" s="10">
        <v>23</v>
      </c>
      <c r="C8" s="10"/>
      <c r="D8" s="10"/>
      <c r="E8" s="10"/>
      <c r="F8" s="10">
        <v>23</v>
      </c>
    </row>
    <row r="9" spans="1:6" x14ac:dyDescent="0.35">
      <c r="A9" s="14" t="s">
        <v>8356</v>
      </c>
      <c r="B9" s="10"/>
      <c r="C9" s="10">
        <v>32</v>
      </c>
      <c r="D9" s="10"/>
      <c r="E9" s="10"/>
      <c r="F9" s="10">
        <v>32</v>
      </c>
    </row>
    <row r="10" spans="1:6" x14ac:dyDescent="0.35">
      <c r="A10" s="14" t="s">
        <v>8352</v>
      </c>
      <c r="B10" s="10"/>
      <c r="C10" s="10"/>
      <c r="D10" s="10"/>
      <c r="E10" s="10">
        <v>33</v>
      </c>
      <c r="F10" s="10">
        <v>33</v>
      </c>
    </row>
    <row r="11" spans="1:6" x14ac:dyDescent="0.35">
      <c r="A11" s="14" t="s">
        <v>8313</v>
      </c>
      <c r="B11" s="10"/>
      <c r="C11" s="10"/>
      <c r="D11" s="10"/>
      <c r="E11" s="10">
        <v>164</v>
      </c>
      <c r="F11" s="10">
        <v>164</v>
      </c>
    </row>
    <row r="12" spans="1:6" x14ac:dyDescent="0.35">
      <c r="A12" s="14" t="s">
        <v>8312</v>
      </c>
      <c r="B12" s="10"/>
      <c r="C12" s="10">
        <v>52</v>
      </c>
      <c r="D12" s="10"/>
      <c r="E12" s="10"/>
      <c r="F12" s="10">
        <v>52</v>
      </c>
    </row>
    <row r="13" spans="1:6" x14ac:dyDescent="0.35">
      <c r="A13" s="14" t="s">
        <v>8328</v>
      </c>
      <c r="B13" s="10"/>
      <c r="C13" s="10"/>
      <c r="D13" s="10"/>
      <c r="E13" s="10">
        <v>30</v>
      </c>
      <c r="F13" s="10">
        <v>30</v>
      </c>
    </row>
    <row r="14" spans="1:6" x14ac:dyDescent="0.35">
      <c r="A14" s="14" t="s">
        <v>8345</v>
      </c>
      <c r="B14" s="10"/>
      <c r="C14" s="10">
        <v>37</v>
      </c>
      <c r="D14" s="10">
        <v>17</v>
      </c>
      <c r="E14" s="10"/>
      <c r="F14" s="10">
        <v>54</v>
      </c>
    </row>
    <row r="15" spans="1:6" x14ac:dyDescent="0.35">
      <c r="A15" s="14" t="s">
        <v>8322</v>
      </c>
      <c r="B15" s="10"/>
      <c r="C15" s="10">
        <v>34</v>
      </c>
      <c r="D15" s="10"/>
      <c r="E15" s="10"/>
      <c r="F15" s="10">
        <v>34</v>
      </c>
    </row>
    <row r="16" spans="1:6" x14ac:dyDescent="0.35">
      <c r="A16" s="14" t="s">
        <v>8335</v>
      </c>
      <c r="B16" s="10">
        <v>15</v>
      </c>
      <c r="C16" s="10">
        <v>101</v>
      </c>
      <c r="D16" s="10"/>
      <c r="E16" s="10"/>
      <c r="F16" s="10">
        <v>116</v>
      </c>
    </row>
    <row r="17" spans="1:6" x14ac:dyDescent="0.35">
      <c r="A17" s="14" t="s">
        <v>8346</v>
      </c>
      <c r="B17" s="10"/>
      <c r="C17" s="10">
        <v>13</v>
      </c>
      <c r="D17" s="10"/>
      <c r="E17" s="10"/>
      <c r="F17" s="10">
        <v>13</v>
      </c>
    </row>
    <row r="18" spans="1:6" x14ac:dyDescent="0.35">
      <c r="A18" s="14" t="s">
        <v>8347</v>
      </c>
      <c r="B18" s="10"/>
      <c r="C18" s="10"/>
      <c r="D18" s="10"/>
      <c r="E18" s="10">
        <v>103</v>
      </c>
      <c r="F18" s="10">
        <v>103</v>
      </c>
    </row>
    <row r="19" spans="1:6" x14ac:dyDescent="0.35">
      <c r="A19" s="14" t="s">
        <v>8327</v>
      </c>
      <c r="B19" s="10"/>
      <c r="C19" s="10">
        <v>20</v>
      </c>
      <c r="D19" s="10"/>
      <c r="E19" s="10">
        <v>138</v>
      </c>
      <c r="F19" s="10">
        <v>158</v>
      </c>
    </row>
    <row r="20" spans="1:6" x14ac:dyDescent="0.35">
      <c r="A20" s="14" t="s">
        <v>8326</v>
      </c>
      <c r="B20" s="10"/>
      <c r="C20" s="10">
        <v>53</v>
      </c>
      <c r="D20" s="10"/>
      <c r="E20" s="10"/>
      <c r="F20" s="10">
        <v>53</v>
      </c>
    </row>
    <row r="21" spans="1:6" x14ac:dyDescent="0.35">
      <c r="A21" s="14" t="s">
        <v>8354</v>
      </c>
      <c r="B21" s="10"/>
      <c r="C21" s="10">
        <v>7</v>
      </c>
      <c r="D21" s="10"/>
      <c r="E21" s="10">
        <v>7</v>
      </c>
      <c r="F21" s="10">
        <v>14</v>
      </c>
    </row>
    <row r="22" spans="1:6" x14ac:dyDescent="0.35">
      <c r="A22" s="14" t="s">
        <v>8325</v>
      </c>
      <c r="B22" s="10"/>
      <c r="C22" s="10"/>
      <c r="D22" s="10"/>
      <c r="E22" s="10">
        <v>14</v>
      </c>
      <c r="F22" s="10">
        <v>14</v>
      </c>
    </row>
    <row r="23" spans="1:6" x14ac:dyDescent="0.35">
      <c r="A23" s="14" t="s">
        <v>8333</v>
      </c>
      <c r="B23" s="10"/>
      <c r="C23" s="10">
        <v>23</v>
      </c>
      <c r="D23" s="10"/>
      <c r="E23" s="10"/>
      <c r="F23" s="10">
        <v>23</v>
      </c>
    </row>
    <row r="24" spans="1:6" x14ac:dyDescent="0.35">
      <c r="A24" s="14" t="s">
        <v>8357</v>
      </c>
      <c r="B24" s="10">
        <v>11</v>
      </c>
      <c r="C24" s="10">
        <v>40</v>
      </c>
      <c r="D24" s="10"/>
      <c r="E24" s="10">
        <v>45</v>
      </c>
      <c r="F24" s="10">
        <v>96</v>
      </c>
    </row>
    <row r="25" spans="1:6" x14ac:dyDescent="0.35">
      <c r="A25" s="14" t="s">
        <v>8341</v>
      </c>
      <c r="B25" s="10"/>
      <c r="C25" s="10">
        <v>14</v>
      </c>
      <c r="D25" s="10"/>
      <c r="E25" s="10"/>
      <c r="F25" s="10">
        <v>14</v>
      </c>
    </row>
    <row r="26" spans="1:6" x14ac:dyDescent="0.35">
      <c r="A26" s="14" t="s">
        <v>8321</v>
      </c>
      <c r="B26" s="10"/>
      <c r="C26" s="10"/>
      <c r="D26" s="10"/>
      <c r="E26" s="10">
        <v>49</v>
      </c>
      <c r="F26" s="10">
        <v>49</v>
      </c>
    </row>
    <row r="27" spans="1:6" x14ac:dyDescent="0.35">
      <c r="A27" s="14" t="s">
        <v>8348</v>
      </c>
      <c r="B27" s="10"/>
      <c r="C27" s="10">
        <v>11</v>
      </c>
      <c r="D27" s="10"/>
      <c r="E27" s="10"/>
      <c r="F27" s="10">
        <v>11</v>
      </c>
    </row>
    <row r="28" spans="1:6" x14ac:dyDescent="0.35">
      <c r="A28" s="14" t="s">
        <v>8337</v>
      </c>
      <c r="B28" s="10"/>
      <c r="C28" s="10">
        <v>34</v>
      </c>
      <c r="D28" s="10"/>
      <c r="E28" s="10">
        <v>62</v>
      </c>
      <c r="F28" s="10">
        <v>96</v>
      </c>
    </row>
    <row r="29" spans="1:6" x14ac:dyDescent="0.35">
      <c r="A29" s="14" t="s">
        <v>8343</v>
      </c>
      <c r="B29" s="10"/>
      <c r="C29" s="10">
        <v>13</v>
      </c>
      <c r="D29" s="10"/>
      <c r="E29" s="10"/>
      <c r="F29" s="10">
        <v>13</v>
      </c>
    </row>
    <row r="30" spans="1:6" x14ac:dyDescent="0.35">
      <c r="A30" s="14" t="s">
        <v>8316</v>
      </c>
      <c r="B30" s="10"/>
      <c r="C30" s="10">
        <v>250</v>
      </c>
      <c r="D30" s="10">
        <v>9</v>
      </c>
      <c r="E30" s="10">
        <v>412</v>
      </c>
      <c r="F30" s="10">
        <v>671</v>
      </c>
    </row>
    <row r="31" spans="1:6" x14ac:dyDescent="0.35">
      <c r="A31" s="14" t="s">
        <v>8344</v>
      </c>
      <c r="B31" s="10"/>
      <c r="C31" s="10"/>
      <c r="D31" s="10"/>
      <c r="E31" s="10">
        <v>35</v>
      </c>
      <c r="F31" s="10">
        <v>35</v>
      </c>
    </row>
    <row r="32" spans="1:6" x14ac:dyDescent="0.35">
      <c r="A32" s="14" t="s">
        <v>8340</v>
      </c>
      <c r="B32" s="10"/>
      <c r="C32" s="10"/>
      <c r="D32" s="10"/>
      <c r="E32" s="10">
        <v>20</v>
      </c>
      <c r="F32" s="10">
        <v>20</v>
      </c>
    </row>
    <row r="33" spans="1:6" x14ac:dyDescent="0.35">
      <c r="A33" s="14" t="s">
        <v>8351</v>
      </c>
      <c r="B33" s="10"/>
      <c r="C33" s="10">
        <v>14</v>
      </c>
      <c r="D33" s="10"/>
      <c r="E33" s="10"/>
      <c r="F33" s="10">
        <v>14</v>
      </c>
    </row>
    <row r="34" spans="1:6" x14ac:dyDescent="0.35">
      <c r="A34" s="14" t="s">
        <v>8324</v>
      </c>
      <c r="B34" s="10"/>
      <c r="C34" s="10"/>
      <c r="D34" s="10"/>
      <c r="E34" s="10">
        <v>240</v>
      </c>
      <c r="F34" s="10">
        <v>240</v>
      </c>
    </row>
    <row r="35" spans="1:6" x14ac:dyDescent="0.35">
      <c r="A35" s="14" t="s">
        <v>8311</v>
      </c>
      <c r="B35" s="10">
        <v>31</v>
      </c>
      <c r="C35" s="10"/>
      <c r="D35" s="10"/>
      <c r="E35" s="10"/>
      <c r="F35" s="10">
        <v>31</v>
      </c>
    </row>
    <row r="36" spans="1:6" x14ac:dyDescent="0.35">
      <c r="A36" s="14" t="s">
        <v>8310</v>
      </c>
      <c r="B36" s="10"/>
      <c r="C36" s="10"/>
      <c r="D36" s="10"/>
      <c r="E36" s="10">
        <v>48</v>
      </c>
      <c r="F36" s="10">
        <v>48</v>
      </c>
    </row>
    <row r="37" spans="1:6" x14ac:dyDescent="0.35">
      <c r="A37" s="14" t="s">
        <v>8350</v>
      </c>
      <c r="B37" s="10"/>
      <c r="C37" s="10"/>
      <c r="D37" s="10">
        <v>4</v>
      </c>
      <c r="E37" s="10">
        <v>34</v>
      </c>
      <c r="F37" s="10">
        <v>38</v>
      </c>
    </row>
    <row r="38" spans="1:6" x14ac:dyDescent="0.35">
      <c r="A38" s="14" t="s">
        <v>8353</v>
      </c>
      <c r="B38" s="10">
        <v>15</v>
      </c>
      <c r="C38" s="10">
        <v>1</v>
      </c>
      <c r="D38" s="10"/>
      <c r="E38" s="10">
        <v>31</v>
      </c>
      <c r="F38" s="10">
        <v>47</v>
      </c>
    </row>
    <row r="39" spans="1:6" x14ac:dyDescent="0.35">
      <c r="A39" s="14" t="s">
        <v>8355</v>
      </c>
      <c r="B39" s="10">
        <v>15</v>
      </c>
      <c r="C39" s="10">
        <v>59</v>
      </c>
      <c r="D39" s="10">
        <v>3</v>
      </c>
      <c r="E39" s="10">
        <v>68</v>
      </c>
      <c r="F39" s="10">
        <v>145</v>
      </c>
    </row>
    <row r="40" spans="1:6" x14ac:dyDescent="0.35">
      <c r="A40" s="14" t="s">
        <v>8349</v>
      </c>
      <c r="B40" s="10"/>
      <c r="C40" s="10"/>
      <c r="D40" s="10"/>
      <c r="E40" s="10">
        <v>52</v>
      </c>
      <c r="F40" s="10">
        <v>52</v>
      </c>
    </row>
    <row r="41" spans="1:6" x14ac:dyDescent="0.35">
      <c r="A41" s="14" t="s">
        <v>8309</v>
      </c>
      <c r="B41" s="10"/>
      <c r="C41" s="10"/>
      <c r="D41" s="10"/>
      <c r="E41" s="10">
        <v>49</v>
      </c>
      <c r="F41" s="10">
        <v>49</v>
      </c>
    </row>
    <row r="42" spans="1:6" x14ac:dyDescent="0.35">
      <c r="A42" s="14" t="s">
        <v>8339</v>
      </c>
      <c r="B42" s="10">
        <v>6</v>
      </c>
      <c r="C42" s="10">
        <v>21</v>
      </c>
      <c r="D42" s="10"/>
      <c r="E42" s="10"/>
      <c r="F42" s="10">
        <v>27</v>
      </c>
    </row>
    <row r="43" spans="1:6" x14ac:dyDescent="0.35">
      <c r="A43" s="14" t="s">
        <v>8332</v>
      </c>
      <c r="B43" s="10"/>
      <c r="C43" s="10">
        <v>73</v>
      </c>
      <c r="D43" s="10"/>
      <c r="E43" s="10"/>
      <c r="F43" s="10">
        <v>73</v>
      </c>
    </row>
    <row r="44" spans="1:6" x14ac:dyDescent="0.35">
      <c r="A44" s="14" t="s">
        <v>8319</v>
      </c>
      <c r="B44" s="10">
        <v>47</v>
      </c>
      <c r="C44" s="10">
        <v>81</v>
      </c>
      <c r="D44" s="10"/>
      <c r="E44" s="10">
        <v>17</v>
      </c>
      <c r="F44" s="10">
        <v>145</v>
      </c>
    </row>
    <row r="45" spans="1:6" x14ac:dyDescent="0.35">
      <c r="A45" s="14" t="s">
        <v>8318</v>
      </c>
      <c r="B45" s="10">
        <v>59</v>
      </c>
      <c r="C45" s="10">
        <v>36</v>
      </c>
      <c r="D45" s="10"/>
      <c r="E45" s="10"/>
      <c r="F45" s="10">
        <v>95</v>
      </c>
    </row>
    <row r="46" spans="1:6" x14ac:dyDescent="0.35">
      <c r="A46" s="14" t="s">
        <v>8338</v>
      </c>
      <c r="B46" s="10">
        <v>19</v>
      </c>
      <c r="C46" s="10"/>
      <c r="D46" s="10"/>
      <c r="E46" s="10"/>
      <c r="F46" s="10">
        <v>19</v>
      </c>
    </row>
    <row r="47" spans="1:6" x14ac:dyDescent="0.35">
      <c r="A47" s="14" t="s">
        <v>8361</v>
      </c>
      <c r="B47" s="10">
        <v>257</v>
      </c>
      <c r="C47" s="10">
        <v>1097</v>
      </c>
      <c r="D47" s="10">
        <v>33</v>
      </c>
      <c r="E47" s="10">
        <v>1651</v>
      </c>
      <c r="F47" s="10">
        <v>3038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10577-88F0-4BEE-BC57-B5D82BAE296B}">
  <sheetPr codeName="Sheet10"/>
  <dimension ref="A1:D6"/>
  <sheetViews>
    <sheetView workbookViewId="0">
      <selection activeCell="D2" sqref="D2:D6"/>
    </sheetView>
  </sheetViews>
  <sheetFormatPr defaultRowHeight="14.5" x14ac:dyDescent="0.35"/>
  <cols>
    <col min="1" max="1" width="30.08984375" customWidth="1"/>
    <col min="2" max="2" width="22.1796875" customWidth="1"/>
    <col min="3" max="3" width="13.1796875" style="8" customWidth="1"/>
    <col min="4" max="4" width="14.453125" style="8" customWidth="1"/>
  </cols>
  <sheetData>
    <row r="1" spans="1:4" x14ac:dyDescent="0.35">
      <c r="A1" t="s">
        <v>8380</v>
      </c>
      <c r="B1" t="s">
        <v>4110</v>
      </c>
      <c r="C1" s="8" t="s">
        <v>8381</v>
      </c>
      <c r="D1" s="8" t="s">
        <v>8382</v>
      </c>
    </row>
    <row r="2" spans="1:4" ht="87" x14ac:dyDescent="0.3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8">
        <f>VLOOKUP(A2, KickStarter!B:E, 3, FALSE)</f>
        <v>2000</v>
      </c>
      <c r="D2" s="8">
        <f>VLOOKUP(A2, KickStarter!B:E, 4, FALSE)</f>
        <v>2020</v>
      </c>
    </row>
    <row r="3" spans="1:4" ht="87" x14ac:dyDescent="0.35">
      <c r="A3" t="s">
        <v>3616</v>
      </c>
      <c r="B3" s="3" t="str">
        <f>VLOOKUP(A2, KickStarter!B:C, 2, FALSE)</f>
        <v>Help us get actor-writer Ian Bonar's debut play - a hilarious, heartbreaking story of grief and loss - to the 2016 Edinburgh Fringe.</v>
      </c>
      <c r="C3" s="8">
        <f>VLOOKUP(A3, KickStarter!B:E, 3, FALSE)</f>
        <v>2000</v>
      </c>
      <c r="D3" s="8">
        <f>VLOOKUP(A3, KickStarter!B:E, 4, FALSE)</f>
        <v>2020</v>
      </c>
    </row>
    <row r="4" spans="1:4" ht="87" x14ac:dyDescent="0.35">
      <c r="A4" t="s">
        <v>3178</v>
      </c>
      <c r="B4" s="3" t="str">
        <f>VLOOKUP(A2, KickStarter!B:C, 2, FALSE)</f>
        <v>Help us get actor-writer Ian Bonar's debut play - a hilarious, heartbreaking story of grief and loss - to the 2016 Edinburgh Fringe.</v>
      </c>
      <c r="C4" s="8">
        <f>VLOOKUP(A4, KickStarter!B:E, 3, FALSE)</f>
        <v>1500</v>
      </c>
      <c r="D4" s="8">
        <f>VLOOKUP(A4, KickStarter!B:E, 4, FALSE)</f>
        <v>2576</v>
      </c>
    </row>
    <row r="5" spans="1:4" ht="87" x14ac:dyDescent="0.35">
      <c r="A5" t="s">
        <v>3329</v>
      </c>
      <c r="B5" s="3" t="str">
        <f>VLOOKUP(A2, KickStarter!B:C, 2, FALSE)</f>
        <v>Help us get actor-writer Ian Bonar's debut play - a hilarious, heartbreaking story of grief and loss - to the 2016 Edinburgh Fringe.</v>
      </c>
      <c r="C5" s="8">
        <f>VLOOKUP(A5, KickStarter!B:E, 3, FALSE)</f>
        <v>1000</v>
      </c>
      <c r="D5" s="8">
        <f>VLOOKUP(A5, KickStarter!B:E, 4, FALSE)</f>
        <v>1168</v>
      </c>
    </row>
    <row r="6" spans="1:4" ht="87" x14ac:dyDescent="0.35">
      <c r="A6" t="s">
        <v>3221</v>
      </c>
      <c r="B6" s="3" t="str">
        <f>VLOOKUP(A2, KickStarter!B:C, 2, FALSE)</f>
        <v>Help us get actor-writer Ian Bonar's debut play - a hilarious, heartbreaking story of grief and loss - to the 2016 Edinburgh Fringe.</v>
      </c>
      <c r="C6" s="8">
        <f>VLOOKUP(A6, KickStarter!B:E, 3, FALSE)</f>
        <v>4000</v>
      </c>
      <c r="D6" s="8">
        <f>VLOOKUP(A6, KickStarter!B:E, 4, FALSE)</f>
        <v>4137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Theater outcomes by launch date</vt:lpstr>
      <vt:lpstr>Sheet1</vt:lpstr>
      <vt:lpstr>Outcomes Based on Goals</vt:lpstr>
      <vt:lpstr>KickStarter</vt:lpstr>
      <vt:lpstr>Category Statistics</vt:lpstr>
      <vt:lpstr>Outcomes Based On Launch Date</vt:lpstr>
      <vt:lpstr>Descriptive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Zeniah Sloan</cp:lastModifiedBy>
  <dcterms:created xsi:type="dcterms:W3CDTF">2017-04-20T15:17:24Z</dcterms:created>
  <dcterms:modified xsi:type="dcterms:W3CDTF">2021-10-18T19:05:49Z</dcterms:modified>
</cp:coreProperties>
</file>