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66925"/>
  <mc:AlternateContent xmlns:mc="http://schemas.openxmlformats.org/markup-compatibility/2006">
    <mc:Choice Requires="x15">
      <x15ac:absPath xmlns:x15ac="http://schemas.microsoft.com/office/spreadsheetml/2010/11/ac" url="C:\Users\onero\Desktop\dfund\"/>
    </mc:Choice>
  </mc:AlternateContent>
  <xr:revisionPtr revIDLastSave="0" documentId="13_ncr:1_{1EB3B88A-09F8-47F4-AF65-00CDE23934A4}" xr6:coauthVersionLast="47" xr6:coauthVersionMax="47" xr10:uidLastSave="{00000000-0000-0000-0000-000000000000}"/>
  <bookViews>
    <workbookView xWindow="28680" yWindow="-120" windowWidth="29040" windowHeight="15720" tabRatio="871" firstSheet="1" activeTab="1" xr2:uid="{30982C73-9E93-4543-8703-FDCD58E2C73F}"/>
  </bookViews>
  <sheets>
    <sheet name="Projections" sheetId="24" state="hidden" r:id="rId1"/>
    <sheet name="INSTRUCTIONS" sheetId="30" r:id="rId2"/>
    <sheet name="SUMMARY" sheetId="28" r:id="rId3"/>
    <sheet name="By Journalist" sheetId="20" r:id="rId4"/>
    <sheet name="State Estimate" sheetId="33" r:id="rId5"/>
    <sheet name="Regional Estimate" sheetId="34" r:id="rId6"/>
    <sheet name="By Org Type - Regional National" sheetId="27" r:id="rId7"/>
    <sheet name="By Org Type - State Local" sheetId="23" r:id="rId8"/>
    <sheet name="Assumptions" sheetId="25" r:id="rId9"/>
    <sheet name="Coverage Units by State Size" sheetId="22" r:id="rId10"/>
    <sheet name="State Data Rollup &amp; Size Tags" sheetId="21" r:id="rId11"/>
    <sheet name="INN YBY Comparison" sheetId="10" state="hidden" r:id="rId12"/>
    <sheet name="Model Org Stats" sheetId="17" r:id="rId13"/>
    <sheet name="INN Rollups 2021" sheetId="7" r:id="rId14"/>
    <sheet name="INN Income Splits" sheetId="16" r:id="rId15"/>
    <sheet name="INN Rollups 2020" sheetId="9" state="hidden" r:id="rId16"/>
    <sheet name="INN 2021" sheetId="5" r:id="rId17"/>
    <sheet name="INN 2020" sheetId="8" state="hidden" r:id="rId18"/>
    <sheet name="Public Radio Data" sheetId="29" r:id="rId19"/>
    <sheet name="Hub Data" sheetId="31" r:id="rId20"/>
    <sheet name="School Districts" sheetId="15" r:id="rId21"/>
    <sheet name="Pop. Data" sheetId="14" r:id="rId22"/>
    <sheet name="Census of Govts Data" sheetId="13" r:id="rId23"/>
    <sheet name="Phil. Data" sheetId="26" state="hidden" r:id="rId24"/>
    <sheet name="Dropdown Menus" sheetId="4" r:id="rId25"/>
    <sheet name="Data Sources" sheetId="6" r:id="rId26"/>
    <sheet name="Model Outline" sheetId="2" state="hidden" r:id="rId27"/>
    <sheet name="Taxonomy" sheetId="1" state="hidden" r:id="rId28"/>
  </sheets>
  <definedNames>
    <definedName name="_xlnm.Print_Area" localSheetId="8">Assumptions!$A$1:$P$54</definedName>
    <definedName name="_xlnm.Print_Area" localSheetId="3">'By Journalist'!$A$1:$J$58</definedName>
    <definedName name="_xlnm.Print_Area" localSheetId="6">'By Org Type - Regional National'!$A$1:$F$39</definedName>
    <definedName name="_xlnm.Print_Area" localSheetId="7">'By Org Type - State Local'!$B$1:$K$144</definedName>
    <definedName name="_xlnm.Print_Area" localSheetId="22">'Census of Govts Data'!$B$2:$D$470</definedName>
    <definedName name="_xlnm.Print_Area" localSheetId="9">'Coverage Units by State Size'!$B$1:$K$42</definedName>
    <definedName name="_xlnm.Print_Area" localSheetId="14">'INN Income Splits'!$A$1:$AI$114</definedName>
    <definedName name="_xlnm.Print_Area" localSheetId="13">'INN Rollups 2021'!$A$1:$W$99</definedName>
    <definedName name="_xlnm.Print_Area" localSheetId="1">INSTRUCTIONS!$A$1:$B$53</definedName>
    <definedName name="_xlnm.Print_Area" localSheetId="12">'Model Org Stats'!$B$1:$CP$38</definedName>
    <definedName name="_xlnm.Print_Area" localSheetId="23">'Phil. Data'!$A$3:$I$72</definedName>
    <definedName name="_xlnm.Print_Area" localSheetId="0">Projections!$A$1:$F$22</definedName>
    <definedName name="_xlnm.Print_Area" localSheetId="18">'Public Radio Data'!$A$1:$N$13</definedName>
    <definedName name="_xlnm.Print_Area" localSheetId="5">'Regional Estimate'!$A$1:$G$44</definedName>
    <definedName name="_xlnm.Print_Area" localSheetId="20">'School Districts'!$A$2:$D$54</definedName>
    <definedName name="_xlnm.Print_Area" localSheetId="10">'State Data Rollup &amp; Size Tags'!$A$3:$M$58</definedName>
    <definedName name="_xlnm.Print_Area" localSheetId="4">'State Estimate'!$A$1:$G$47</definedName>
    <definedName name="_xlnm.Print_Area" localSheetId="2">SUMMARY!$A$1:$C$27</definedName>
    <definedName name="_xlnm.Print_Area" localSheetId="27">Taxonomy!$A$1:$D$44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29" l="1"/>
  <c r="H8" i="29" s="1"/>
  <c r="H7" i="29"/>
  <c r="H6" i="29"/>
  <c r="H5" i="29"/>
  <c r="H4" i="29"/>
  <c r="H3" i="29"/>
  <c r="H2" i="29"/>
  <c r="A55" i="7" l="1"/>
  <c r="CN26" i="17"/>
  <c r="CE14" i="17"/>
  <c r="I28" i="20"/>
  <c r="I27" i="20"/>
  <c r="I26" i="20"/>
  <c r="I25" i="20"/>
  <c r="I24" i="20"/>
  <c r="I23" i="20"/>
  <c r="H24" i="20"/>
  <c r="H25" i="20"/>
  <c r="H26" i="20"/>
  <c r="H27" i="20"/>
  <c r="H23" i="20"/>
  <c r="G24" i="20"/>
  <c r="G25" i="20"/>
  <c r="G26" i="20"/>
  <c r="G27" i="20"/>
  <c r="E23" i="20"/>
  <c r="G23" i="20"/>
  <c r="F24" i="20"/>
  <c r="F25" i="20"/>
  <c r="F26" i="20"/>
  <c r="F27" i="20"/>
  <c r="F23" i="20"/>
  <c r="E24" i="20"/>
  <c r="E25" i="20"/>
  <c r="E26" i="20"/>
  <c r="E27" i="20"/>
  <c r="D24" i="20"/>
  <c r="D25" i="20"/>
  <c r="D26" i="20"/>
  <c r="D27" i="20"/>
  <c r="D23" i="20"/>
  <c r="C27" i="20"/>
  <c r="C26" i="20"/>
  <c r="C25" i="20"/>
  <c r="C24" i="20"/>
  <c r="C23" i="20"/>
  <c r="B27" i="20"/>
  <c r="B26" i="20"/>
  <c r="B25" i="20"/>
  <c r="B24" i="20"/>
  <c r="D16" i="22"/>
  <c r="B23" i="20"/>
  <c r="B7" i="33"/>
  <c r="B28" i="34" l="1"/>
  <c r="B27" i="34"/>
  <c r="B7" i="34" s="1"/>
  <c r="A3" i="34"/>
  <c r="F27" i="33"/>
  <c r="F26" i="33"/>
  <c r="F25" i="33"/>
  <c r="F24" i="33"/>
  <c r="F23" i="33"/>
  <c r="F22" i="33"/>
  <c r="F21" i="33"/>
  <c r="F20" i="33"/>
  <c r="B8" i="33"/>
  <c r="D67" i="23"/>
  <c r="C33" i="20"/>
  <c r="D33" i="20"/>
  <c r="F33" i="20"/>
  <c r="G33" i="20"/>
  <c r="H33" i="20"/>
  <c r="I33" i="20"/>
  <c r="C34" i="20"/>
  <c r="D34" i="20"/>
  <c r="F34" i="20"/>
  <c r="G34" i="20"/>
  <c r="H34" i="20"/>
  <c r="I34" i="20"/>
  <c r="C35" i="20"/>
  <c r="D35" i="20"/>
  <c r="F35" i="20"/>
  <c r="G35" i="20"/>
  <c r="H35" i="20"/>
  <c r="I35" i="20"/>
  <c r="C36" i="20"/>
  <c r="D36" i="20"/>
  <c r="F36" i="20"/>
  <c r="G36" i="20"/>
  <c r="H36" i="20"/>
  <c r="I36" i="20"/>
  <c r="C32" i="20"/>
  <c r="D32" i="20"/>
  <c r="F32" i="20"/>
  <c r="G32" i="20"/>
  <c r="H32" i="20"/>
  <c r="I32" i="20"/>
  <c r="G12" i="20"/>
  <c r="G13" i="20"/>
  <c r="G14" i="20"/>
  <c r="G15" i="20"/>
  <c r="G11" i="20"/>
  <c r="F7" i="33"/>
  <c r="F6" i="33"/>
  <c r="B32" i="20" l="1"/>
  <c r="B11" i="33"/>
  <c r="B12" i="33"/>
  <c r="B8" i="34" l="1"/>
  <c r="B9" i="34" s="1"/>
  <c r="B13" i="33"/>
  <c r="A3" i="33" l="1"/>
  <c r="A108" i="23" l="1"/>
  <c r="A109" i="23"/>
  <c r="A110" i="23"/>
  <c r="A111" i="23"/>
  <c r="A112" i="23"/>
  <c r="A113" i="23"/>
  <c r="A114" i="23"/>
  <c r="A115" i="23"/>
  <c r="A116" i="23"/>
  <c r="A117" i="23"/>
  <c r="A118" i="23"/>
  <c r="A119" i="23"/>
  <c r="A120" i="23"/>
  <c r="A121" i="23"/>
  <c r="A122" i="23"/>
  <c r="A107" i="23"/>
  <c r="A32" i="27"/>
  <c r="A33" i="27"/>
  <c r="A34" i="27"/>
  <c r="A26" i="27"/>
  <c r="A27" i="27"/>
  <c r="A28" i="27"/>
  <c r="A17" i="27"/>
  <c r="A18" i="27"/>
  <c r="A16" i="27"/>
  <c r="A11" i="27"/>
  <c r="A12" i="27"/>
  <c r="A10" i="27"/>
  <c r="BY6" i="17"/>
  <c r="BV6" i="17"/>
  <c r="BS6" i="17"/>
  <c r="BG6" i="17"/>
  <c r="BD6" i="17"/>
  <c r="BA6" i="17"/>
  <c r="AO6" i="17"/>
  <c r="AL6" i="17"/>
  <c r="AI6" i="17"/>
  <c r="S85" i="7"/>
  <c r="S70" i="7"/>
  <c r="S55" i="7"/>
  <c r="M85" i="7"/>
  <c r="M70" i="7"/>
  <c r="M55" i="7"/>
  <c r="G85" i="7"/>
  <c r="G70" i="7"/>
  <c r="G55" i="7"/>
  <c r="A85" i="7"/>
  <c r="A70" i="7"/>
  <c r="W6" i="17"/>
  <c r="T6" i="17"/>
  <c r="Q6" i="17"/>
  <c r="A8" i="23" l="1"/>
  <c r="A27" i="23" s="1"/>
  <c r="A47" i="23" s="1"/>
  <c r="A67" i="23" s="1"/>
  <c r="A20" i="23"/>
  <c r="A39" i="23" s="1"/>
  <c r="A59" i="23" s="1"/>
  <c r="A79" i="23" s="1"/>
  <c r="A19" i="23"/>
  <c r="A38" i="23" s="1"/>
  <c r="A58" i="23" s="1"/>
  <c r="A78" i="23" s="1"/>
  <c r="A18" i="23"/>
  <c r="A37" i="23" s="1"/>
  <c r="A57" i="23" s="1"/>
  <c r="A77" i="23" s="1"/>
  <c r="A13" i="23"/>
  <c r="A32" i="23" s="1"/>
  <c r="A52" i="23" s="1"/>
  <c r="A72" i="23" s="1"/>
  <c r="A14" i="23"/>
  <c r="A33" i="23" s="1"/>
  <c r="A53" i="23" s="1"/>
  <c r="A73" i="23" s="1"/>
  <c r="A12" i="23"/>
  <c r="A31" i="23" s="1"/>
  <c r="A51" i="23" s="1"/>
  <c r="A71" i="23" s="1"/>
  <c r="G2" i="5"/>
  <c r="G3" i="5"/>
  <c r="G147" i="5"/>
  <c r="G4" i="5"/>
  <c r="G5" i="5"/>
  <c r="G99" i="5"/>
  <c r="G40" i="5"/>
  <c r="G6" i="5"/>
  <c r="G7" i="5"/>
  <c r="G8" i="5"/>
  <c r="G96" i="5"/>
  <c r="G9" i="5"/>
  <c r="G10" i="5"/>
  <c r="G184" i="5"/>
  <c r="G185" i="5"/>
  <c r="G148" i="5"/>
  <c r="G186" i="5"/>
  <c r="G11" i="5"/>
  <c r="G187" i="5"/>
  <c r="G97" i="5"/>
  <c r="G12" i="5"/>
  <c r="G188" i="5"/>
  <c r="G13" i="5"/>
  <c r="G174" i="5"/>
  <c r="G189" i="5"/>
  <c r="G94" i="5"/>
  <c r="G14" i="5"/>
  <c r="G175" i="5"/>
  <c r="G15" i="5"/>
  <c r="G176" i="5"/>
  <c r="G34" i="5"/>
  <c r="G16" i="5"/>
  <c r="G177" i="5"/>
  <c r="G35" i="5"/>
  <c r="G143" i="5"/>
  <c r="G178" i="5"/>
  <c r="G192" i="5"/>
  <c r="G179" i="5"/>
  <c r="G17" i="5"/>
  <c r="G18" i="5"/>
  <c r="G144" i="5"/>
  <c r="G190" i="5"/>
  <c r="G180" i="5"/>
  <c r="G181" i="5"/>
  <c r="G100" i="5"/>
  <c r="G19" i="5"/>
  <c r="G20" i="5"/>
  <c r="G21" i="5"/>
  <c r="G149" i="5"/>
  <c r="G150" i="5"/>
  <c r="G145" i="5"/>
  <c r="G22" i="5"/>
  <c r="G36" i="5"/>
  <c r="G95" i="5"/>
  <c r="G23" i="5"/>
  <c r="G182" i="5"/>
  <c r="G24" i="5"/>
  <c r="G183" i="5"/>
  <c r="G25" i="5"/>
  <c r="G26" i="5"/>
  <c r="G98" i="5"/>
  <c r="G37" i="5"/>
  <c r="G27" i="5"/>
  <c r="G101" i="5"/>
  <c r="G28" i="5"/>
  <c r="G191" i="5"/>
  <c r="G29" i="5"/>
  <c r="G30" i="5"/>
  <c r="G31" i="5"/>
  <c r="G146" i="5"/>
  <c r="G32" i="5"/>
  <c r="G38" i="5"/>
  <c r="G33" i="5"/>
  <c r="G39" i="5"/>
  <c r="G106" i="5"/>
  <c r="G157" i="5"/>
  <c r="G53" i="5"/>
  <c r="G63" i="5"/>
  <c r="G151" i="5"/>
  <c r="G193" i="5"/>
  <c r="G201" i="5"/>
  <c r="G54" i="5"/>
  <c r="G160" i="5"/>
  <c r="G55" i="5"/>
  <c r="G56" i="5"/>
  <c r="G202" i="5"/>
  <c r="G107" i="5"/>
  <c r="G158" i="5"/>
  <c r="G116" i="5"/>
  <c r="G161" i="5"/>
  <c r="G162" i="5"/>
  <c r="G209" i="5"/>
  <c r="G163" i="5"/>
  <c r="G108" i="5"/>
  <c r="G117" i="5"/>
  <c r="G102" i="5"/>
  <c r="G210" i="5"/>
  <c r="G118" i="5"/>
  <c r="G57" i="5"/>
  <c r="G152" i="5"/>
  <c r="G203" i="5"/>
  <c r="G103" i="5"/>
  <c r="G58" i="5"/>
  <c r="G109" i="5"/>
  <c r="G59" i="5"/>
  <c r="G204" i="5"/>
  <c r="G110" i="5"/>
  <c r="G211" i="5"/>
  <c r="G194" i="5"/>
  <c r="G104" i="5"/>
  <c r="G205" i="5"/>
  <c r="G119" i="5"/>
  <c r="G195" i="5"/>
  <c r="G153" i="5"/>
  <c r="G120" i="5"/>
  <c r="G206" i="5"/>
  <c r="G111" i="5"/>
  <c r="G196" i="5"/>
  <c r="G121" i="5"/>
  <c r="G41" i="5"/>
  <c r="G122" i="5"/>
  <c r="G123" i="5"/>
  <c r="G60" i="5"/>
  <c r="G197" i="5"/>
  <c r="G42" i="5"/>
  <c r="G105" i="5"/>
  <c r="G43" i="5"/>
  <c r="G44" i="5"/>
  <c r="G154" i="5"/>
  <c r="G198" i="5"/>
  <c r="G124" i="5"/>
  <c r="G61" i="5"/>
  <c r="G45" i="5"/>
  <c r="G125" i="5"/>
  <c r="G155" i="5"/>
  <c r="G207" i="5"/>
  <c r="G46" i="5"/>
  <c r="G47" i="5"/>
  <c r="G208" i="5"/>
  <c r="G159" i="5"/>
  <c r="G48" i="5"/>
  <c r="G64" i="5"/>
  <c r="G49" i="5"/>
  <c r="G112" i="5"/>
  <c r="G199" i="5"/>
  <c r="G126" i="5"/>
  <c r="G113" i="5"/>
  <c r="G65" i="5"/>
  <c r="G50" i="5"/>
  <c r="G51" i="5"/>
  <c r="G200" i="5"/>
  <c r="G66" i="5"/>
  <c r="G114" i="5"/>
  <c r="G62" i="5"/>
  <c r="G52" i="5"/>
  <c r="G67" i="5"/>
  <c r="G212" i="5"/>
  <c r="G156" i="5"/>
  <c r="G115" i="5"/>
  <c r="G84" i="5"/>
  <c r="G213" i="5"/>
  <c r="G214" i="5"/>
  <c r="G85" i="5"/>
  <c r="G233" i="5"/>
  <c r="G234" i="5"/>
  <c r="G215" i="5"/>
  <c r="G129" i="5"/>
  <c r="G224" i="5"/>
  <c r="G235" i="5"/>
  <c r="G127" i="5"/>
  <c r="G68" i="5"/>
  <c r="G225" i="5"/>
  <c r="G216" i="5"/>
  <c r="G69" i="5"/>
  <c r="G165" i="5"/>
  <c r="G70" i="5"/>
  <c r="G86" i="5"/>
  <c r="G136" i="5"/>
  <c r="G166" i="5"/>
  <c r="G87" i="5"/>
  <c r="G130" i="5"/>
  <c r="G226" i="5"/>
  <c r="G217" i="5"/>
  <c r="G88" i="5"/>
  <c r="G218" i="5"/>
  <c r="G131" i="5"/>
  <c r="G132" i="5"/>
  <c r="G219" i="5"/>
  <c r="G71" i="5"/>
  <c r="G133" i="5"/>
  <c r="G72" i="5"/>
  <c r="G89" i="5"/>
  <c r="G167" i="5"/>
  <c r="G137" i="5"/>
  <c r="G168" i="5"/>
  <c r="G227" i="5"/>
  <c r="G228" i="5"/>
  <c r="G134" i="5"/>
  <c r="G138" i="5"/>
  <c r="G139" i="5"/>
  <c r="G128" i="5"/>
  <c r="G140" i="5"/>
  <c r="G73" i="5"/>
  <c r="G141" i="5"/>
  <c r="G171" i="5"/>
  <c r="G220" i="5"/>
  <c r="G74" i="5"/>
  <c r="G75" i="5"/>
  <c r="G229" i="5"/>
  <c r="G90" i="5"/>
  <c r="G135" i="5"/>
  <c r="G91" i="5"/>
  <c r="G221" i="5"/>
  <c r="G142" i="5"/>
  <c r="G76" i="5"/>
  <c r="G172" i="5"/>
  <c r="G222" i="5"/>
  <c r="G77" i="5"/>
  <c r="G169" i="5"/>
  <c r="G78" i="5"/>
  <c r="G230" i="5"/>
  <c r="G79" i="5"/>
  <c r="G223" i="5"/>
  <c r="G93" i="5"/>
  <c r="G164" i="5"/>
  <c r="G231" i="5"/>
  <c r="G80" i="5"/>
  <c r="G92" i="5"/>
  <c r="G170" i="5"/>
  <c r="G81" i="5"/>
  <c r="G82" i="5"/>
  <c r="G232" i="5"/>
  <c r="G83" i="5"/>
  <c r="G173" i="5"/>
  <c r="CE32" i="17"/>
  <c r="CE31" i="17"/>
  <c r="CE27" i="17"/>
  <c r="CE26" i="17"/>
  <c r="B36" i="27" s="1"/>
  <c r="CE22" i="17"/>
  <c r="CB32" i="17"/>
  <c r="CB27" i="17"/>
  <c r="CB26" i="17"/>
  <c r="CB22" i="17"/>
  <c r="CB14" i="17"/>
  <c r="C4" i="31"/>
  <c r="CB37" i="17" l="1"/>
  <c r="C35" i="27"/>
  <c r="F35" i="27" s="1"/>
  <c r="CE37" i="17"/>
  <c r="C36" i="27"/>
  <c r="D36" i="27" s="1"/>
  <c r="CB28" i="17"/>
  <c r="B35" i="27"/>
  <c r="CB23" i="17"/>
  <c r="D35" i="27" l="1"/>
  <c r="E35" i="27"/>
  <c r="E17" i="22"/>
  <c r="E18" i="22"/>
  <c r="E19" i="22"/>
  <c r="E20" i="22"/>
  <c r="E16" i="22"/>
  <c r="E21" i="22" s="1"/>
  <c r="D58" i="21"/>
  <c r="H106" i="5" l="1"/>
  <c r="H157" i="5"/>
  <c r="H84" i="5"/>
  <c r="H213" i="5"/>
  <c r="H214" i="5"/>
  <c r="H85" i="5"/>
  <c r="H53" i="5"/>
  <c r="H63" i="5"/>
  <c r="H151" i="5"/>
  <c r="H2" i="5"/>
  <c r="H233" i="5"/>
  <c r="H3" i="5"/>
  <c r="H147" i="5"/>
  <c r="H4" i="5"/>
  <c r="H5" i="5"/>
  <c r="H193" i="5"/>
  <c r="H234" i="5"/>
  <c r="H201" i="5"/>
  <c r="H215" i="5"/>
  <c r="H129" i="5"/>
  <c r="H224" i="5"/>
  <c r="H99" i="5"/>
  <c r="H54" i="5"/>
  <c r="H160" i="5"/>
  <c r="H55" i="5"/>
  <c r="H56" i="5"/>
  <c r="H202" i="5"/>
  <c r="H107" i="5"/>
  <c r="H235" i="5"/>
  <c r="H158" i="5"/>
  <c r="H116" i="5"/>
  <c r="H161" i="5"/>
  <c r="H40" i="5"/>
  <c r="H6" i="5"/>
  <c r="H162" i="5"/>
  <c r="H209" i="5"/>
  <c r="H163" i="5"/>
  <c r="H108" i="5"/>
  <c r="H127" i="5"/>
  <c r="H7" i="5"/>
  <c r="H68" i="5"/>
  <c r="H225" i="5"/>
  <c r="H117" i="5"/>
  <c r="H102" i="5"/>
  <c r="H210" i="5"/>
  <c r="H216" i="5"/>
  <c r="H69" i="5"/>
  <c r="H118" i="5"/>
  <c r="H57" i="5"/>
  <c r="H152" i="5"/>
  <c r="H8" i="5"/>
  <c r="H203" i="5"/>
  <c r="H96" i="5"/>
  <c r="H165" i="5"/>
  <c r="H70" i="5"/>
  <c r="H86" i="5"/>
  <c r="H136" i="5"/>
  <c r="H166" i="5"/>
  <c r="H87" i="5"/>
  <c r="H130" i="5"/>
  <c r="H226" i="5"/>
  <c r="H103" i="5"/>
  <c r="H217" i="5"/>
  <c r="H9" i="5"/>
  <c r="H10" i="5"/>
  <c r="H184" i="5"/>
  <c r="H185" i="5"/>
  <c r="H148" i="5"/>
  <c r="H88" i="5"/>
  <c r="H186" i="5"/>
  <c r="H11" i="5"/>
  <c r="H187" i="5"/>
  <c r="H58" i="5"/>
  <c r="H218" i="5"/>
  <c r="H109" i="5"/>
  <c r="H131" i="5"/>
  <c r="H59" i="5"/>
  <c r="H97" i="5"/>
  <c r="H12" i="5"/>
  <c r="H188" i="5"/>
  <c r="H132" i="5"/>
  <c r="H204" i="5"/>
  <c r="H110" i="5"/>
  <c r="H211" i="5"/>
  <c r="H194" i="5"/>
  <c r="H13" i="5"/>
  <c r="H174" i="5"/>
  <c r="H219" i="5"/>
  <c r="H71" i="5"/>
  <c r="H189" i="5"/>
  <c r="H133" i="5"/>
  <c r="H94" i="5"/>
  <c r="H72" i="5"/>
  <c r="H104" i="5"/>
  <c r="H14" i="5"/>
  <c r="H175" i="5"/>
  <c r="H15" i="5"/>
  <c r="H89" i="5"/>
  <c r="H167" i="5"/>
  <c r="H205" i="5"/>
  <c r="H137" i="5"/>
  <c r="H119" i="5"/>
  <c r="H195" i="5"/>
  <c r="H168" i="5"/>
  <c r="H153" i="5"/>
  <c r="H176" i="5"/>
  <c r="H227" i="5"/>
  <c r="H34" i="5"/>
  <c r="H228" i="5"/>
  <c r="H134" i="5"/>
  <c r="H138" i="5"/>
  <c r="H139" i="5"/>
  <c r="H16" i="5"/>
  <c r="H128" i="5"/>
  <c r="H120" i="5"/>
  <c r="H206" i="5"/>
  <c r="H111" i="5"/>
  <c r="H177" i="5"/>
  <c r="H140" i="5"/>
  <c r="H196" i="5"/>
  <c r="H73" i="5"/>
  <c r="H141" i="5"/>
  <c r="H171" i="5"/>
  <c r="H220" i="5"/>
  <c r="H121" i="5"/>
  <c r="H41" i="5"/>
  <c r="H122" i="5"/>
  <c r="H74" i="5"/>
  <c r="H123" i="5"/>
  <c r="H75" i="5"/>
  <c r="H229" i="5"/>
  <c r="H60" i="5"/>
  <c r="H35" i="5"/>
  <c r="H90" i="5"/>
  <c r="H197" i="5"/>
  <c r="H135" i="5"/>
  <c r="H42" i="5"/>
  <c r="H143" i="5"/>
  <c r="H178" i="5"/>
  <c r="H91" i="5"/>
  <c r="H221" i="5"/>
  <c r="H105" i="5"/>
  <c r="H43" i="5"/>
  <c r="H192" i="5"/>
  <c r="H44" i="5"/>
  <c r="H154" i="5"/>
  <c r="H142" i="5"/>
  <c r="H179" i="5"/>
  <c r="H76" i="5"/>
  <c r="H198" i="5"/>
  <c r="H172" i="5"/>
  <c r="H17" i="5"/>
  <c r="H18" i="5"/>
  <c r="H222" i="5"/>
  <c r="H124" i="5"/>
  <c r="H61" i="5"/>
  <c r="H45" i="5"/>
  <c r="H144" i="5"/>
  <c r="H190" i="5"/>
  <c r="H77" i="5"/>
  <c r="H180" i="5"/>
  <c r="H125" i="5"/>
  <c r="H155" i="5"/>
  <c r="H181" i="5"/>
  <c r="H100" i="5"/>
  <c r="H19" i="5"/>
  <c r="H207" i="5"/>
  <c r="H169" i="5"/>
  <c r="H78" i="5"/>
  <c r="H20" i="5"/>
  <c r="H46" i="5"/>
  <c r="H21" i="5"/>
  <c r="H47" i="5"/>
  <c r="H149" i="5"/>
  <c r="H208" i="5"/>
  <c r="H230" i="5"/>
  <c r="H150" i="5"/>
  <c r="H79" i="5"/>
  <c r="H145" i="5"/>
  <c r="H159" i="5"/>
  <c r="H223" i="5"/>
  <c r="H93" i="5"/>
  <c r="H48" i="5"/>
  <c r="H164" i="5"/>
  <c r="H64" i="5"/>
  <c r="H49" i="5"/>
  <c r="H22" i="5"/>
  <c r="H36" i="5"/>
  <c r="H112" i="5"/>
  <c r="H199" i="5"/>
  <c r="H95" i="5"/>
  <c r="H23" i="5"/>
  <c r="H182" i="5"/>
  <c r="H126" i="5"/>
  <c r="H113" i="5"/>
  <c r="H65" i="5"/>
  <c r="H24" i="5"/>
  <c r="H183" i="5"/>
  <c r="H25" i="5"/>
  <c r="H231" i="5"/>
  <c r="H80" i="5"/>
  <c r="H26" i="5"/>
  <c r="H98" i="5"/>
  <c r="H37" i="5"/>
  <c r="H50" i="5"/>
  <c r="H27" i="5"/>
  <c r="H101" i="5"/>
  <c r="H51" i="5"/>
  <c r="H200" i="5"/>
  <c r="H92" i="5"/>
  <c r="H66" i="5"/>
  <c r="H28" i="5"/>
  <c r="H191" i="5"/>
  <c r="H170" i="5"/>
  <c r="H114" i="5"/>
  <c r="H29" i="5"/>
  <c r="H30" i="5"/>
  <c r="H31" i="5"/>
  <c r="H146" i="5"/>
  <c r="H32" i="5"/>
  <c r="H38" i="5"/>
  <c r="H81" i="5"/>
  <c r="H33" i="5"/>
  <c r="H62" i="5"/>
  <c r="H52" i="5"/>
  <c r="H67" i="5"/>
  <c r="H212" i="5"/>
  <c r="H82" i="5"/>
  <c r="H156" i="5"/>
  <c r="H39" i="5"/>
  <c r="H115" i="5"/>
  <c r="H232" i="5"/>
  <c r="H83" i="5"/>
  <c r="H173" i="5"/>
  <c r="F106" i="5"/>
  <c r="W97" i="7" l="1"/>
  <c r="K82" i="7"/>
  <c r="W96" i="7"/>
  <c r="K81" i="7"/>
  <c r="W98" i="7"/>
  <c r="O77" i="7"/>
  <c r="C62" i="7"/>
  <c r="E64" i="7"/>
  <c r="O74" i="7"/>
  <c r="C59" i="7"/>
  <c r="O73" i="7"/>
  <c r="C58" i="7"/>
  <c r="E60" i="7"/>
  <c r="F65" i="16"/>
  <c r="F64" i="16"/>
  <c r="Q10" i="17" s="1"/>
  <c r="U97" i="7"/>
  <c r="I82" i="7"/>
  <c r="U96" i="7"/>
  <c r="I81" i="7"/>
  <c r="Q98" i="7"/>
  <c r="W92" i="7"/>
  <c r="BY26" i="17" s="1"/>
  <c r="K77" i="7"/>
  <c r="W94" i="7"/>
  <c r="W89" i="7"/>
  <c r="K74" i="7"/>
  <c r="W88" i="7"/>
  <c r="K73" i="7"/>
  <c r="W90" i="7"/>
  <c r="X93" i="16"/>
  <c r="F75" i="16"/>
  <c r="X92" i="16"/>
  <c r="F74" i="16"/>
  <c r="X90" i="16"/>
  <c r="F72" i="16"/>
  <c r="X91" i="16"/>
  <c r="F73" i="16"/>
  <c r="X89" i="16"/>
  <c r="F71" i="16"/>
  <c r="X88" i="16"/>
  <c r="F70" i="16"/>
  <c r="X85" i="16"/>
  <c r="F67" i="16"/>
  <c r="X83" i="16"/>
  <c r="X82" i="16"/>
  <c r="Q97" i="7"/>
  <c r="E82" i="7"/>
  <c r="Q96" i="7"/>
  <c r="E81" i="7"/>
  <c r="K98" i="7"/>
  <c r="U92" i="7"/>
  <c r="I77" i="7"/>
  <c r="Q94" i="7"/>
  <c r="U89" i="7"/>
  <c r="I74" i="7"/>
  <c r="U88" i="7"/>
  <c r="I73" i="7"/>
  <c r="Q90" i="7"/>
  <c r="AG82" i="16"/>
  <c r="O97" i="7"/>
  <c r="C82" i="7"/>
  <c r="O96" i="7"/>
  <c r="C81" i="7"/>
  <c r="E98" i="7"/>
  <c r="Q92" i="7"/>
  <c r="E77" i="7"/>
  <c r="K94" i="7"/>
  <c r="Q89" i="7"/>
  <c r="E74" i="7"/>
  <c r="Q88" i="7"/>
  <c r="E73" i="7"/>
  <c r="K90" i="7"/>
  <c r="AG111" i="16"/>
  <c r="O93" i="16"/>
  <c r="AG110" i="16"/>
  <c r="O92" i="16"/>
  <c r="AG108" i="16"/>
  <c r="O90" i="16"/>
  <c r="AG109" i="16"/>
  <c r="O91" i="16"/>
  <c r="AG107" i="16"/>
  <c r="O89" i="16"/>
  <c r="AL17" i="17" s="1"/>
  <c r="AG106" i="16"/>
  <c r="O88" i="16"/>
  <c r="AL16" i="17" s="1"/>
  <c r="AG103" i="16"/>
  <c r="O85" i="16"/>
  <c r="AG101" i="16"/>
  <c r="O83" i="16"/>
  <c r="AL11" i="17" s="1"/>
  <c r="AG100" i="16"/>
  <c r="O82" i="16"/>
  <c r="K97" i="7"/>
  <c r="W67" i="7"/>
  <c r="K96" i="7"/>
  <c r="W66" i="7"/>
  <c r="W83" i="7"/>
  <c r="O92" i="7"/>
  <c r="C77" i="7"/>
  <c r="E94" i="7"/>
  <c r="O89" i="7"/>
  <c r="C74" i="7"/>
  <c r="O88" i="7"/>
  <c r="C73" i="7"/>
  <c r="E90" i="7"/>
  <c r="X110" i="16"/>
  <c r="F90" i="16"/>
  <c r="F91" i="16"/>
  <c r="T19" i="17" s="1"/>
  <c r="F89" i="16"/>
  <c r="F88" i="16"/>
  <c r="T16" i="17" s="1"/>
  <c r="F85" i="16"/>
  <c r="F83" i="16"/>
  <c r="F82" i="16"/>
  <c r="I97" i="7"/>
  <c r="U67" i="7"/>
  <c r="I96" i="7"/>
  <c r="U66" i="7"/>
  <c r="Q83" i="7"/>
  <c r="K92" i="7"/>
  <c r="W62" i="7"/>
  <c r="BS26" i="17" s="1"/>
  <c r="W79" i="7"/>
  <c r="K89" i="7"/>
  <c r="W59" i="7"/>
  <c r="K88" i="7"/>
  <c r="W58" i="7"/>
  <c r="W75" i="7"/>
  <c r="X111" i="16"/>
  <c r="F93" i="16"/>
  <c r="F92" i="16"/>
  <c r="X108" i="16"/>
  <c r="X109" i="16"/>
  <c r="X107" i="16"/>
  <c r="X106" i="16"/>
  <c r="X103" i="16"/>
  <c r="X101" i="16"/>
  <c r="X100" i="16"/>
  <c r="O64" i="16"/>
  <c r="E97" i="7"/>
  <c r="Q67" i="7"/>
  <c r="E96" i="7"/>
  <c r="Q66" i="7"/>
  <c r="K83" i="7"/>
  <c r="I92" i="7"/>
  <c r="U62" i="7"/>
  <c r="Q79" i="7"/>
  <c r="I89" i="7"/>
  <c r="U59" i="7"/>
  <c r="I88" i="7"/>
  <c r="U58" i="7"/>
  <c r="Q75" i="7"/>
  <c r="K60" i="7"/>
  <c r="O74" i="16"/>
  <c r="O72" i="16"/>
  <c r="O71" i="16"/>
  <c r="O67" i="16"/>
  <c r="C97" i="7"/>
  <c r="O67" i="7"/>
  <c r="C96" i="7"/>
  <c r="O66" i="7"/>
  <c r="E83" i="7"/>
  <c r="E92" i="7"/>
  <c r="Q62" i="7"/>
  <c r="K79" i="7"/>
  <c r="E89" i="7"/>
  <c r="Q59" i="7"/>
  <c r="E88" i="7"/>
  <c r="Q58" i="7"/>
  <c r="K75" i="7"/>
  <c r="O111" i="16"/>
  <c r="AG75" i="16"/>
  <c r="O110" i="16"/>
  <c r="AG74" i="16"/>
  <c r="O108" i="16"/>
  <c r="AG72" i="16"/>
  <c r="O109" i="16"/>
  <c r="AG73" i="16"/>
  <c r="O107" i="16"/>
  <c r="AG71" i="16"/>
  <c r="O106" i="16"/>
  <c r="AG70" i="16"/>
  <c r="O103" i="16"/>
  <c r="AG67" i="16"/>
  <c r="O101" i="16"/>
  <c r="AO11" i="17" s="1"/>
  <c r="AG65" i="16"/>
  <c r="O100" i="16"/>
  <c r="AG64" i="16"/>
  <c r="W82" i="7"/>
  <c r="K67" i="7"/>
  <c r="W81" i="7"/>
  <c r="K66" i="7"/>
  <c r="W68" i="7"/>
  <c r="C92" i="7"/>
  <c r="O62" i="7"/>
  <c r="E79" i="7"/>
  <c r="C89" i="7"/>
  <c r="O59" i="7"/>
  <c r="C88" i="7"/>
  <c r="O58" i="7"/>
  <c r="E75" i="7"/>
  <c r="E58" i="7"/>
  <c r="AG93" i="16"/>
  <c r="AG90" i="16"/>
  <c r="AG89" i="16"/>
  <c r="AG85" i="16"/>
  <c r="O65" i="16"/>
  <c r="U82" i="7"/>
  <c r="I67" i="7"/>
  <c r="U81" i="7"/>
  <c r="I66" i="7"/>
  <c r="Q68" i="7"/>
  <c r="W77" i="7"/>
  <c r="K62" i="7"/>
  <c r="W64" i="7"/>
  <c r="W74" i="7"/>
  <c r="K59" i="7"/>
  <c r="W73" i="7"/>
  <c r="K58" i="7"/>
  <c r="W60" i="7"/>
  <c r="F111" i="16"/>
  <c r="W21" i="17" s="1"/>
  <c r="X75" i="16"/>
  <c r="BA21" i="17" s="1"/>
  <c r="F110" i="16"/>
  <c r="X74" i="16"/>
  <c r="BA20" i="17" s="1"/>
  <c r="F108" i="16"/>
  <c r="X72" i="16"/>
  <c r="F109" i="16"/>
  <c r="W19" i="17" s="1"/>
  <c r="X73" i="16"/>
  <c r="BA19" i="17" s="1"/>
  <c r="F107" i="16"/>
  <c r="X71" i="16"/>
  <c r="BA17" i="17" s="1"/>
  <c r="F106" i="16"/>
  <c r="X70" i="16"/>
  <c r="BA16" i="17" s="1"/>
  <c r="F103" i="16"/>
  <c r="W13" i="17" s="1"/>
  <c r="X67" i="16"/>
  <c r="F101" i="16"/>
  <c r="X65" i="16"/>
  <c r="BA11" i="17" s="1"/>
  <c r="F100" i="16"/>
  <c r="X64" i="16"/>
  <c r="O75" i="16"/>
  <c r="AG91" i="16"/>
  <c r="O70" i="16"/>
  <c r="AI16" i="17" s="1"/>
  <c r="Q82" i="7"/>
  <c r="E67" i="7"/>
  <c r="Q81" i="7"/>
  <c r="E66" i="7"/>
  <c r="K68" i="7"/>
  <c r="U77" i="7"/>
  <c r="I62" i="7"/>
  <c r="Q64" i="7"/>
  <c r="U74" i="7"/>
  <c r="I59" i="7"/>
  <c r="U73" i="7"/>
  <c r="I58" i="7"/>
  <c r="Q60" i="7"/>
  <c r="O82" i="7"/>
  <c r="C67" i="7"/>
  <c r="O81" i="7"/>
  <c r="C66" i="7"/>
  <c r="E68" i="7"/>
  <c r="Q77" i="7"/>
  <c r="BD26" i="17" s="1"/>
  <c r="E62" i="7"/>
  <c r="K64" i="7"/>
  <c r="Q74" i="7"/>
  <c r="E59" i="7"/>
  <c r="Q73" i="7"/>
  <c r="AG92" i="16"/>
  <c r="O73" i="16"/>
  <c r="AI19" i="17" s="1"/>
  <c r="AG88" i="16"/>
  <c r="AG83" i="16"/>
  <c r="BA13" i="17"/>
  <c r="AI20" i="17"/>
  <c r="AI11" i="17"/>
  <c r="AL10" i="17"/>
  <c r="AL18" i="17"/>
  <c r="AO18" i="17"/>
  <c r="W17" i="17"/>
  <c r="W11" i="17"/>
  <c r="T17" i="17"/>
  <c r="Q21" i="17"/>
  <c r="Q11" i="17"/>
  <c r="BV26" i="17"/>
  <c r="W26" i="17"/>
  <c r="C85" i="7"/>
  <c r="AL13" i="17"/>
  <c r="AO17" i="17"/>
  <c r="Q20" i="17"/>
  <c r="AI26" i="17"/>
  <c r="O85" i="7"/>
  <c r="AI10" i="17"/>
  <c r="AL21" i="17"/>
  <c r="AO16" i="17"/>
  <c r="W20" i="17"/>
  <c r="W16" i="17"/>
  <c r="W10" i="17"/>
  <c r="T13" i="17"/>
  <c r="Q19" i="17"/>
  <c r="AL26" i="17"/>
  <c r="O70" i="7"/>
  <c r="BA10" i="17"/>
  <c r="AO13" i="17"/>
  <c r="Q18" i="17"/>
  <c r="AO26" i="17"/>
  <c r="U85" i="7"/>
  <c r="AI18" i="17"/>
  <c r="AI13" i="17"/>
  <c r="AL20" i="17"/>
  <c r="AO10" i="17"/>
  <c r="T21" i="17"/>
  <c r="T11" i="17"/>
  <c r="Q17" i="17"/>
  <c r="BG26" i="17"/>
  <c r="U70" i="7"/>
  <c r="BA18" i="17"/>
  <c r="AO21" i="17"/>
  <c r="T20" i="17"/>
  <c r="Q16" i="17"/>
  <c r="Q26" i="17"/>
  <c r="C70" i="7"/>
  <c r="U55" i="7"/>
  <c r="C55" i="7"/>
  <c r="AI21" i="17"/>
  <c r="AI17" i="17"/>
  <c r="AL19" i="17"/>
  <c r="AO20" i="17"/>
  <c r="W18" i="17"/>
  <c r="T10" i="17"/>
  <c r="Q13" i="17"/>
  <c r="BA26" i="17"/>
  <c r="I70" i="7"/>
  <c r="O55" i="7"/>
  <c r="AO19" i="17"/>
  <c r="T18" i="17"/>
  <c r="T26" i="17"/>
  <c r="I85" i="7"/>
  <c r="I55" i="7"/>
  <c r="A23" i="23"/>
  <c r="A42" i="23" s="1"/>
  <c r="A62" i="23" s="1"/>
  <c r="A82" i="23" s="1"/>
  <c r="A22" i="23"/>
  <c r="A41" i="23" s="1"/>
  <c r="A61" i="23" s="1"/>
  <c r="A81" i="23" s="1"/>
  <c r="A21" i="23"/>
  <c r="A40" i="23" s="1"/>
  <c r="A60" i="23" s="1"/>
  <c r="A80" i="23" s="1"/>
  <c r="CE28" i="17"/>
  <c r="CE36" i="17"/>
  <c r="E36" i="27" s="1"/>
  <c r="F36" i="27" s="1"/>
  <c r="CE23" i="17"/>
  <c r="A3" i="16"/>
  <c r="A3" i="7"/>
  <c r="B3" i="22"/>
  <c r="B3" i="17"/>
  <c r="A3" i="25"/>
  <c r="A3" i="20"/>
  <c r="B3" i="23"/>
  <c r="A3" i="27"/>
  <c r="A3" i="28"/>
  <c r="BV16" i="17" l="1"/>
  <c r="AG94" i="16"/>
  <c r="AH88" i="16" s="1"/>
  <c r="Q22" i="17"/>
  <c r="R19" i="17" s="1"/>
  <c r="B34" i="27"/>
  <c r="BY17" i="17"/>
  <c r="BG10" i="17"/>
  <c r="BG17" i="17"/>
  <c r="BV20" i="17"/>
  <c r="AO22" i="17"/>
  <c r="AP19" i="17" s="1"/>
  <c r="B33" i="27"/>
  <c r="BY16" i="17"/>
  <c r="AG112" i="16"/>
  <c r="AH107" i="16" s="1"/>
  <c r="BV17" i="17"/>
  <c r="BD11" i="17"/>
  <c r="BD17" i="17"/>
  <c r="BG20" i="17"/>
  <c r="BG19" i="17"/>
  <c r="BA22" i="17"/>
  <c r="BB16" i="17" s="1"/>
  <c r="AL22" i="17"/>
  <c r="AM19" i="17" s="1"/>
  <c r="BD19" i="17"/>
  <c r="BV19" i="17"/>
  <c r="BG13" i="17"/>
  <c r="BS20" i="17"/>
  <c r="B32" i="27"/>
  <c r="BY19" i="17"/>
  <c r="T22" i="17"/>
  <c r="U16" i="17" s="1"/>
  <c r="BS13" i="17"/>
  <c r="BS18" i="17"/>
  <c r="BG21" i="17"/>
  <c r="BD13" i="17"/>
  <c r="BV21" i="17"/>
  <c r="BV10" i="17"/>
  <c r="BY20" i="17"/>
  <c r="BG16" i="17"/>
  <c r="B26" i="27"/>
  <c r="AI22" i="17"/>
  <c r="AJ16" i="17" s="1"/>
  <c r="W22" i="17"/>
  <c r="X16" i="17" s="1"/>
  <c r="BY13" i="17"/>
  <c r="BY18" i="17"/>
  <c r="BY11" i="17"/>
  <c r="BG18" i="17"/>
  <c r="BV11" i="17"/>
  <c r="BS17" i="17"/>
  <c r="BD20" i="17"/>
  <c r="BD10" i="17"/>
  <c r="BS11" i="17"/>
  <c r="BD18" i="17"/>
  <c r="BS21" i="17"/>
  <c r="BS10" i="17"/>
  <c r="B28" i="27"/>
  <c r="BD21" i="17"/>
  <c r="BS16" i="17"/>
  <c r="AG76" i="16"/>
  <c r="AH74" i="16" s="1"/>
  <c r="BG11" i="17"/>
  <c r="BV13" i="17"/>
  <c r="BV18" i="17"/>
  <c r="B27" i="27"/>
  <c r="BD16" i="17"/>
  <c r="BS19" i="17"/>
  <c r="BY21" i="17"/>
  <c r="BY10" i="17"/>
  <c r="U101" i="7"/>
  <c r="F94" i="16"/>
  <c r="G88" i="16" s="1"/>
  <c r="C101" i="7"/>
  <c r="X76" i="16"/>
  <c r="O94" i="16"/>
  <c r="P88" i="16" s="1"/>
  <c r="F76" i="16"/>
  <c r="O76" i="16"/>
  <c r="Y74" i="16" s="1"/>
  <c r="F112" i="16"/>
  <c r="G108" i="16" s="1"/>
  <c r="X112" i="16"/>
  <c r="Y106" i="16" s="1"/>
  <c r="I101" i="7"/>
  <c r="O112" i="16"/>
  <c r="P109" i="16" s="1"/>
  <c r="O101" i="7"/>
  <c r="X94" i="16"/>
  <c r="Y93" i="16" s="1"/>
  <c r="CF26" i="17"/>
  <c r="CE38" i="17"/>
  <c r="CF27" i="17"/>
  <c r="CN33" i="17"/>
  <c r="CK33" i="17"/>
  <c r="CK31" i="17" s="1"/>
  <c r="CL31" i="17" s="1"/>
  <c r="CH33" i="17"/>
  <c r="CH31" i="17" s="1"/>
  <c r="CI31" i="17" s="1"/>
  <c r="AH93" i="16" l="1"/>
  <c r="AH91" i="16"/>
  <c r="AH92" i="16"/>
  <c r="R20" i="17"/>
  <c r="R17" i="17"/>
  <c r="AH90" i="16"/>
  <c r="R18" i="17"/>
  <c r="AJ17" i="17"/>
  <c r="X18" i="17"/>
  <c r="Y107" i="16"/>
  <c r="AJ18" i="17"/>
  <c r="Y109" i="16"/>
  <c r="AJ19" i="17"/>
  <c r="AP17" i="17"/>
  <c r="AP20" i="17"/>
  <c r="X17" i="17"/>
  <c r="AP21" i="17"/>
  <c r="X21" i="17"/>
  <c r="AP16" i="17"/>
  <c r="U18" i="17"/>
  <c r="P92" i="16"/>
  <c r="U21" i="17"/>
  <c r="AH108" i="16"/>
  <c r="AH106" i="16"/>
  <c r="U19" i="17"/>
  <c r="AH110" i="16"/>
  <c r="BB17" i="17"/>
  <c r="BB18" i="17"/>
  <c r="X20" i="17"/>
  <c r="AH71" i="16"/>
  <c r="BB21" i="17"/>
  <c r="X19" i="17"/>
  <c r="P90" i="16"/>
  <c r="AH111" i="16"/>
  <c r="AP18" i="17"/>
  <c r="BB19" i="17"/>
  <c r="Y111" i="16"/>
  <c r="AM21" i="17"/>
  <c r="U20" i="17"/>
  <c r="P91" i="16"/>
  <c r="AM18" i="17"/>
  <c r="BB20" i="17"/>
  <c r="Y90" i="16"/>
  <c r="Y91" i="16"/>
  <c r="BY22" i="17"/>
  <c r="BZ20" i="17" s="1"/>
  <c r="AM17" i="17"/>
  <c r="AM20" i="17"/>
  <c r="Y110" i="16"/>
  <c r="AH72" i="16"/>
  <c r="Y73" i="16"/>
  <c r="AH109" i="16"/>
  <c r="R16" i="17"/>
  <c r="Y108" i="16"/>
  <c r="AJ21" i="17"/>
  <c r="Y89" i="16"/>
  <c r="AM16" i="17"/>
  <c r="AH70" i="16"/>
  <c r="BD22" i="17"/>
  <c r="BE21" i="17" s="1"/>
  <c r="Y88" i="16"/>
  <c r="Y92" i="16"/>
  <c r="BS22" i="17"/>
  <c r="BT21" i="17" s="1"/>
  <c r="AH73" i="16"/>
  <c r="P108" i="16"/>
  <c r="P111" i="16"/>
  <c r="AH75" i="16"/>
  <c r="R21" i="17"/>
  <c r="AJ20" i="17"/>
  <c r="BV22" i="17"/>
  <c r="BW16" i="17" s="1"/>
  <c r="P106" i="16"/>
  <c r="BG22" i="17"/>
  <c r="BH18" i="17" s="1"/>
  <c r="U17" i="17"/>
  <c r="AH89" i="16"/>
  <c r="P89" i="16"/>
  <c r="P75" i="16"/>
  <c r="P71" i="16"/>
  <c r="G93" i="16"/>
  <c r="G91" i="16"/>
  <c r="G107" i="16"/>
  <c r="G111" i="16"/>
  <c r="G106" i="16"/>
  <c r="G90" i="16"/>
  <c r="G110" i="16"/>
  <c r="Y75" i="16"/>
  <c r="G92" i="16"/>
  <c r="G109" i="16"/>
  <c r="G89" i="16"/>
  <c r="P107" i="16"/>
  <c r="G72" i="16"/>
  <c r="P110" i="16"/>
  <c r="Y71" i="16"/>
  <c r="P73" i="16"/>
  <c r="G75" i="16"/>
  <c r="G71" i="16"/>
  <c r="G73" i="16"/>
  <c r="P72" i="16"/>
  <c r="P74" i="16"/>
  <c r="Y72" i="16"/>
  <c r="G74" i="16"/>
  <c r="P70" i="16"/>
  <c r="Y70" i="16"/>
  <c r="G70" i="16"/>
  <c r="P93" i="16"/>
  <c r="CK32" i="17"/>
  <c r="CN31" i="17"/>
  <c r="CO31" i="17" s="1"/>
  <c r="CN32" i="17"/>
  <c r="CN38" i="17" s="1"/>
  <c r="CH32" i="17"/>
  <c r="B7" i="20"/>
  <c r="B23" i="25"/>
  <c r="E32" i="17"/>
  <c r="E31" i="17"/>
  <c r="E28" i="17"/>
  <c r="E26" i="17" s="1"/>
  <c r="AH94" i="16" l="1"/>
  <c r="BZ21" i="17"/>
  <c r="AP22" i="17"/>
  <c r="BT16" i="17"/>
  <c r="AH112" i="16"/>
  <c r="U22" i="17"/>
  <c r="BB22" i="17"/>
  <c r="X22" i="17"/>
  <c r="BE17" i="17"/>
  <c r="BE18" i="17"/>
  <c r="BZ17" i="17"/>
  <c r="AJ22" i="17"/>
  <c r="BH21" i="17"/>
  <c r="BT19" i="17"/>
  <c r="BW21" i="17"/>
  <c r="BE16" i="17"/>
  <c r="BZ19" i="17"/>
  <c r="BT20" i="17"/>
  <c r="BT18" i="17"/>
  <c r="BT17" i="17"/>
  <c r="BH17" i="17"/>
  <c r="BH19" i="17"/>
  <c r="AM22" i="17"/>
  <c r="BH16" i="17"/>
  <c r="R22" i="17"/>
  <c r="BZ16" i="17"/>
  <c r="BW17" i="17"/>
  <c r="BH20" i="17"/>
  <c r="P94" i="16"/>
  <c r="BW20" i="17"/>
  <c r="BW18" i="17"/>
  <c r="BZ18" i="17"/>
  <c r="BE20" i="17"/>
  <c r="BW19" i="17"/>
  <c r="AH76" i="16"/>
  <c r="BE19" i="17"/>
  <c r="E27" i="17"/>
  <c r="E37" i="17" s="1"/>
  <c r="Y94" i="16"/>
  <c r="Y112" i="16"/>
  <c r="P76" i="16"/>
  <c r="G76" i="16"/>
  <c r="Y76" i="16"/>
  <c r="E38" i="17"/>
  <c r="CH38" i="17"/>
  <c r="CI32" i="17"/>
  <c r="CI33" i="17" s="1"/>
  <c r="CO32" i="17"/>
  <c r="CO33" i="17" s="1"/>
  <c r="E36" i="17"/>
  <c r="CK38" i="17"/>
  <c r="CL32" i="17"/>
  <c r="CL33" i="17" s="1"/>
  <c r="A35" i="27"/>
  <c r="A36" i="27"/>
  <c r="CN27" i="17"/>
  <c r="CN37" i="17" s="1"/>
  <c r="CN36" i="17"/>
  <c r="CK27" i="17"/>
  <c r="CK37" i="17" s="1"/>
  <c r="CK26" i="17"/>
  <c r="CK36" i="17" s="1"/>
  <c r="CH27" i="17"/>
  <c r="CH37" i="17" s="1"/>
  <c r="CH26" i="17"/>
  <c r="CH36" i="17" s="1"/>
  <c r="BT22" i="17" l="1"/>
  <c r="BW22" i="17"/>
  <c r="BZ22" i="17"/>
  <c r="BE22" i="17"/>
  <c r="BH22" i="17"/>
  <c r="CH28" i="17"/>
  <c r="CI26" i="17" s="1"/>
  <c r="CN28" i="17"/>
  <c r="CO26" i="17" s="1"/>
  <c r="CK28" i="17"/>
  <c r="CL27" i="17" s="1"/>
  <c r="CI27" i="17" l="1"/>
  <c r="CI28" i="17" s="1"/>
  <c r="CO27" i="17"/>
  <c r="CO28" i="17" s="1"/>
  <c r="CL26" i="17"/>
  <c r="CL28" i="17" s="1"/>
  <c r="E6" i="17" l="1"/>
  <c r="A17" i="22" l="1"/>
  <c r="A18" i="22" s="1"/>
  <c r="A19" i="22" s="1"/>
  <c r="A20" i="22" s="1"/>
  <c r="A8" i="27"/>
  <c r="A24" i="27" s="1"/>
  <c r="A9" i="27"/>
  <c r="A25" i="27" s="1"/>
  <c r="A13" i="27"/>
  <c r="A29" i="27" s="1"/>
  <c r="A14" i="27"/>
  <c r="A15" i="27"/>
  <c r="A31" i="27" s="1"/>
  <c r="A7" i="27"/>
  <c r="A23" i="27" s="1"/>
  <c r="B49" i="25"/>
  <c r="B14" i="25"/>
  <c r="K17" i="22"/>
  <c r="K18" i="22"/>
  <c r="K19" i="22"/>
  <c r="K20" i="22"/>
  <c r="K16" i="22"/>
  <c r="M8" i="21"/>
  <c r="M9" i="21"/>
  <c r="M10" i="21"/>
  <c r="M11" i="21"/>
  <c r="M12" i="21"/>
  <c r="M13" i="21"/>
  <c r="M14" i="21"/>
  <c r="M15" i="21"/>
  <c r="M16" i="21"/>
  <c r="M17" i="21"/>
  <c r="M18" i="21"/>
  <c r="M19" i="21"/>
  <c r="M20" i="21"/>
  <c r="M21" i="21"/>
  <c r="M22" i="21"/>
  <c r="M23" i="21"/>
  <c r="M24" i="21"/>
  <c r="M25" i="21"/>
  <c r="M26" i="21"/>
  <c r="M27" i="21"/>
  <c r="M28" i="21"/>
  <c r="M29" i="21"/>
  <c r="M30" i="21"/>
  <c r="M31" i="21"/>
  <c r="M32" i="21"/>
  <c r="M33" i="21"/>
  <c r="M34" i="21"/>
  <c r="M35" i="21"/>
  <c r="M36" i="21"/>
  <c r="M37" i="21"/>
  <c r="M38" i="21"/>
  <c r="M39" i="21"/>
  <c r="M40" i="21"/>
  <c r="M41" i="21"/>
  <c r="M42" i="21"/>
  <c r="M43" i="21"/>
  <c r="M44" i="21"/>
  <c r="M45" i="21"/>
  <c r="M46" i="21"/>
  <c r="M47" i="21"/>
  <c r="M48" i="21"/>
  <c r="M49" i="21"/>
  <c r="M50" i="21"/>
  <c r="M51" i="21"/>
  <c r="M52" i="21"/>
  <c r="M53" i="21"/>
  <c r="M54" i="21"/>
  <c r="M55" i="21"/>
  <c r="M56" i="21"/>
  <c r="M57" i="21"/>
  <c r="M7" i="21"/>
  <c r="L8" i="21"/>
  <c r="L9" i="21"/>
  <c r="L10" i="21"/>
  <c r="L11" i="21"/>
  <c r="L12" i="21"/>
  <c r="L13" i="21"/>
  <c r="L14" i="21"/>
  <c r="L15" i="21"/>
  <c r="L16" i="21"/>
  <c r="L17" i="21"/>
  <c r="L18" i="21"/>
  <c r="L19" i="21"/>
  <c r="L20" i="21"/>
  <c r="L21" i="21"/>
  <c r="L22" i="21"/>
  <c r="L23" i="21"/>
  <c r="L24" i="21"/>
  <c r="L25" i="21"/>
  <c r="L26" i="21"/>
  <c r="L27" i="21"/>
  <c r="L28" i="21"/>
  <c r="L29" i="21"/>
  <c r="L30" i="21"/>
  <c r="L31" i="21"/>
  <c r="L32" i="21"/>
  <c r="L33" i="21"/>
  <c r="L34" i="21"/>
  <c r="L35" i="21"/>
  <c r="L36" i="21"/>
  <c r="L37" i="21"/>
  <c r="L38" i="21"/>
  <c r="L39" i="21"/>
  <c r="L40" i="21"/>
  <c r="L41" i="21"/>
  <c r="L42" i="21"/>
  <c r="L43" i="21"/>
  <c r="L44" i="21"/>
  <c r="L45" i="21"/>
  <c r="L46" i="21"/>
  <c r="L47" i="21"/>
  <c r="L48" i="21"/>
  <c r="L49" i="21"/>
  <c r="L50" i="21"/>
  <c r="L51" i="21"/>
  <c r="L52" i="21"/>
  <c r="L53" i="21"/>
  <c r="L54" i="21"/>
  <c r="L55" i="21"/>
  <c r="L56" i="21"/>
  <c r="L57" i="21"/>
  <c r="L7" i="21"/>
  <c r="K8" i="21"/>
  <c r="K9" i="21"/>
  <c r="K10" i="21"/>
  <c r="K11" i="21"/>
  <c r="K12" i="21"/>
  <c r="K13" i="21"/>
  <c r="K14" i="21"/>
  <c r="K15" i="21"/>
  <c r="K16" i="21"/>
  <c r="K17" i="21"/>
  <c r="K18" i="21"/>
  <c r="K19" i="21"/>
  <c r="K20" i="21"/>
  <c r="K21" i="21"/>
  <c r="K22" i="21"/>
  <c r="K23" i="21"/>
  <c r="K24" i="21"/>
  <c r="K25" i="21"/>
  <c r="K26" i="21"/>
  <c r="K27" i="21"/>
  <c r="K28" i="21"/>
  <c r="K29" i="21"/>
  <c r="K30" i="21"/>
  <c r="K31" i="21"/>
  <c r="K32" i="21"/>
  <c r="K33" i="21"/>
  <c r="K34" i="21"/>
  <c r="K35" i="21"/>
  <c r="K36" i="21"/>
  <c r="K37" i="21"/>
  <c r="K38" i="21"/>
  <c r="K39" i="21"/>
  <c r="K40" i="21"/>
  <c r="K41" i="21"/>
  <c r="K42" i="21"/>
  <c r="K43" i="21"/>
  <c r="K44" i="21"/>
  <c r="K45" i="21"/>
  <c r="K46" i="21"/>
  <c r="K47" i="21"/>
  <c r="K48" i="21"/>
  <c r="K49" i="21"/>
  <c r="K50" i="21"/>
  <c r="K51" i="21"/>
  <c r="K52" i="21"/>
  <c r="K53" i="21"/>
  <c r="K54" i="21"/>
  <c r="K55" i="21"/>
  <c r="K56" i="21"/>
  <c r="K57" i="21"/>
  <c r="K7" i="21"/>
  <c r="F57" i="26"/>
  <c r="D57" i="26"/>
  <c r="B1" i="26"/>
  <c r="C1" i="26" s="1"/>
  <c r="D1" i="26" s="1"/>
  <c r="E1" i="26" s="1"/>
  <c r="F1" i="26" s="1"/>
  <c r="G1" i="26" s="1"/>
  <c r="H1" i="26" s="1"/>
  <c r="I1" i="26" s="1"/>
  <c r="D29" i="22" l="1"/>
  <c r="E30" i="22"/>
  <c r="C26" i="22"/>
  <c r="D30" i="22"/>
  <c r="C29" i="22"/>
  <c r="C28" i="22"/>
  <c r="D26" i="22"/>
  <c r="E27" i="22"/>
  <c r="C30" i="22"/>
  <c r="D27" i="22"/>
  <c r="E29" i="22"/>
  <c r="E28" i="22"/>
  <c r="C27" i="22"/>
  <c r="D28" i="22"/>
  <c r="E26" i="22"/>
  <c r="A30" i="27"/>
  <c r="M58" i="21"/>
  <c r="L58" i="21"/>
  <c r="K58" i="21"/>
  <c r="D31" i="22" l="1"/>
  <c r="E31" i="22"/>
  <c r="C31" i="22"/>
  <c r="J58" i="21"/>
  <c r="H2" i="21"/>
  <c r="H10" i="21" s="1"/>
  <c r="I2" i="21"/>
  <c r="I9" i="21" s="1"/>
  <c r="F2" i="21"/>
  <c r="F8" i="21" s="1"/>
  <c r="G2" i="21"/>
  <c r="G11" i="21" s="1"/>
  <c r="E8" i="21"/>
  <c r="E9" i="21"/>
  <c r="E10" i="21"/>
  <c r="E11" i="21"/>
  <c r="E12" i="21"/>
  <c r="E13" i="21"/>
  <c r="E14" i="21"/>
  <c r="E15" i="21"/>
  <c r="E16" i="21"/>
  <c r="E17" i="21"/>
  <c r="E18"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7" i="21"/>
  <c r="E48" i="21"/>
  <c r="E49" i="21"/>
  <c r="E50" i="21"/>
  <c r="E51" i="21"/>
  <c r="E52" i="21"/>
  <c r="E53" i="21"/>
  <c r="E54" i="21"/>
  <c r="E55" i="21"/>
  <c r="E56" i="21"/>
  <c r="E57" i="21"/>
  <c r="E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7" i="21"/>
  <c r="I57" i="26"/>
  <c r="G57" i="26"/>
  <c r="E57" i="26"/>
  <c r="F46" i="21" l="1"/>
  <c r="F30" i="21"/>
  <c r="F34" i="21"/>
  <c r="F18" i="21"/>
  <c r="F14" i="21"/>
  <c r="G17" i="21"/>
  <c r="F50" i="21"/>
  <c r="C16" i="22"/>
  <c r="H56" i="21"/>
  <c r="H40" i="21"/>
  <c r="H24" i="21"/>
  <c r="H8" i="21"/>
  <c r="C17" i="22"/>
  <c r="H48" i="21"/>
  <c r="H32" i="21"/>
  <c r="H16" i="21"/>
  <c r="F54" i="21"/>
  <c r="F38" i="21"/>
  <c r="F22" i="21"/>
  <c r="G57" i="21"/>
  <c r="G41" i="21"/>
  <c r="G25" i="21"/>
  <c r="G9" i="21"/>
  <c r="F16" i="22"/>
  <c r="H44" i="21"/>
  <c r="H28" i="21"/>
  <c r="H12" i="21"/>
  <c r="G53" i="21"/>
  <c r="G37" i="21"/>
  <c r="G21" i="21"/>
  <c r="C18" i="22"/>
  <c r="G49" i="21"/>
  <c r="G33" i="21"/>
  <c r="F17" i="22"/>
  <c r="H52" i="21"/>
  <c r="H36" i="21"/>
  <c r="H20" i="21"/>
  <c r="F7" i="21"/>
  <c r="F42" i="21"/>
  <c r="F26" i="21"/>
  <c r="F10" i="21"/>
  <c r="G45" i="21"/>
  <c r="G29" i="21"/>
  <c r="G13" i="21"/>
  <c r="F19" i="22"/>
  <c r="F18" i="22"/>
  <c r="C20" i="22"/>
  <c r="H57" i="21"/>
  <c r="H53" i="21"/>
  <c r="H49" i="21"/>
  <c r="H45" i="21"/>
  <c r="H41" i="21"/>
  <c r="H37" i="21"/>
  <c r="H33" i="21"/>
  <c r="H29" i="21"/>
  <c r="H25" i="21"/>
  <c r="H21" i="21"/>
  <c r="H17" i="21"/>
  <c r="H13" i="21"/>
  <c r="H9" i="21"/>
  <c r="I56" i="21"/>
  <c r="I52" i="21"/>
  <c r="I48" i="21"/>
  <c r="I44" i="21"/>
  <c r="I40" i="21"/>
  <c r="I36" i="21"/>
  <c r="I32" i="21"/>
  <c r="I28" i="21"/>
  <c r="I24" i="21"/>
  <c r="I20" i="21"/>
  <c r="I16" i="21"/>
  <c r="I12" i="21"/>
  <c r="I8" i="21"/>
  <c r="F55" i="21"/>
  <c r="F51" i="21"/>
  <c r="F47" i="21"/>
  <c r="F43" i="21"/>
  <c r="F39" i="21"/>
  <c r="F35" i="21"/>
  <c r="F31" i="21"/>
  <c r="F27" i="21"/>
  <c r="F23" i="21"/>
  <c r="F19" i="21"/>
  <c r="F15" i="21"/>
  <c r="F11" i="21"/>
  <c r="G7" i="21"/>
  <c r="G54" i="21"/>
  <c r="G50" i="21"/>
  <c r="G46" i="21"/>
  <c r="G42" i="21"/>
  <c r="G38" i="21"/>
  <c r="G34" i="21"/>
  <c r="G30" i="21"/>
  <c r="G26" i="21"/>
  <c r="G22" i="21"/>
  <c r="G18" i="21"/>
  <c r="G14" i="21"/>
  <c r="G10" i="21"/>
  <c r="I51" i="21"/>
  <c r="I43" i="21"/>
  <c r="I35" i="21"/>
  <c r="I27" i="21"/>
  <c r="I19" i="21"/>
  <c r="I11" i="21"/>
  <c r="C19" i="22"/>
  <c r="H55" i="21"/>
  <c r="H51" i="21"/>
  <c r="H47" i="21"/>
  <c r="H43" i="21"/>
  <c r="H39" i="21"/>
  <c r="H35" i="21"/>
  <c r="H31" i="21"/>
  <c r="H27" i="21"/>
  <c r="H23" i="21"/>
  <c r="H19" i="21"/>
  <c r="H15" i="21"/>
  <c r="H11" i="21"/>
  <c r="I7" i="21"/>
  <c r="I54" i="21"/>
  <c r="I50" i="21"/>
  <c r="I46" i="21"/>
  <c r="I42" i="21"/>
  <c r="I38" i="21"/>
  <c r="I34" i="21"/>
  <c r="I30" i="21"/>
  <c r="I26" i="21"/>
  <c r="I22" i="21"/>
  <c r="I18" i="21"/>
  <c r="I14" i="21"/>
  <c r="I10" i="21"/>
  <c r="F57" i="21"/>
  <c r="F53" i="21"/>
  <c r="F49" i="21"/>
  <c r="F45" i="21"/>
  <c r="F41" i="21"/>
  <c r="F37" i="21"/>
  <c r="F33" i="21"/>
  <c r="F29" i="21"/>
  <c r="F25" i="21"/>
  <c r="F21" i="21"/>
  <c r="F17" i="21"/>
  <c r="F13" i="21"/>
  <c r="F9" i="21"/>
  <c r="G56" i="21"/>
  <c r="G52" i="21"/>
  <c r="G48" i="21"/>
  <c r="G44" i="21"/>
  <c r="G40" i="21"/>
  <c r="G36" i="21"/>
  <c r="G32" i="21"/>
  <c r="G28" i="21"/>
  <c r="G24" i="21"/>
  <c r="G20" i="21"/>
  <c r="G16" i="21"/>
  <c r="G12" i="21"/>
  <c r="G8" i="21"/>
  <c r="I55" i="21"/>
  <c r="I47" i="21"/>
  <c r="I39" i="21"/>
  <c r="I31" i="21"/>
  <c r="I23" i="21"/>
  <c r="I15" i="21"/>
  <c r="F20" i="22"/>
  <c r="H7" i="21"/>
  <c r="H54" i="21"/>
  <c r="H50" i="21"/>
  <c r="H46" i="21"/>
  <c r="H42" i="21"/>
  <c r="H38" i="21"/>
  <c r="H34" i="21"/>
  <c r="H30" i="21"/>
  <c r="H26" i="21"/>
  <c r="H22" i="21"/>
  <c r="H18" i="21"/>
  <c r="H14" i="21"/>
  <c r="I57" i="21"/>
  <c r="I53" i="21"/>
  <c r="I49" i="21"/>
  <c r="I45" i="21"/>
  <c r="I41" i="21"/>
  <c r="I37" i="21"/>
  <c r="I33" i="21"/>
  <c r="I29" i="21"/>
  <c r="I25" i="21"/>
  <c r="I21" i="21"/>
  <c r="I17" i="21"/>
  <c r="I13" i="21"/>
  <c r="F56" i="21"/>
  <c r="F52" i="21"/>
  <c r="F48" i="21"/>
  <c r="F44" i="21"/>
  <c r="F40" i="21"/>
  <c r="F36" i="21"/>
  <c r="F32" i="21"/>
  <c r="F28" i="21"/>
  <c r="F24" i="21"/>
  <c r="F20" i="21"/>
  <c r="F16" i="21"/>
  <c r="F12" i="21"/>
  <c r="G55" i="21"/>
  <c r="G51" i="21"/>
  <c r="G47" i="21"/>
  <c r="G43" i="21"/>
  <c r="G39" i="21"/>
  <c r="G35" i="21"/>
  <c r="G31" i="21"/>
  <c r="G27" i="21"/>
  <c r="G23" i="21"/>
  <c r="G19" i="21"/>
  <c r="G15" i="21"/>
  <c r="E58" i="21"/>
  <c r="C58" i="21"/>
  <c r="A7" i="17"/>
  <c r="A8" i="17" s="1"/>
  <c r="A9" i="17" s="1"/>
  <c r="A10" i="17" s="1"/>
  <c r="A11" i="17" s="1"/>
  <c r="A12" i="17" s="1"/>
  <c r="A13" i="17" s="1"/>
  <c r="A14" i="17" s="1"/>
  <c r="A15" i="17" s="1"/>
  <c r="A16" i="17" s="1"/>
  <c r="A17" i="17" s="1"/>
  <c r="A18" i="17" s="1"/>
  <c r="A19" i="17" s="1"/>
  <c r="A20" i="17" s="1"/>
  <c r="A21" i="17" s="1"/>
  <c r="A22" i="17" s="1"/>
  <c r="A23" i="17" s="1"/>
  <c r="A24" i="17" s="1"/>
  <c r="A25" i="17" s="1"/>
  <c r="A26" i="17" s="1"/>
  <c r="A27" i="17" s="1"/>
  <c r="A28" i="17" s="1"/>
  <c r="A29" i="17" s="1"/>
  <c r="A30" i="17" s="1"/>
  <c r="A31" i="17" s="1"/>
  <c r="A32" i="17" s="1"/>
  <c r="A33" i="17" s="1"/>
  <c r="A34" i="17" s="1"/>
  <c r="A35" i="17" s="1"/>
  <c r="A36" i="17" s="1"/>
  <c r="A37" i="17" s="1"/>
  <c r="A38" i="17" s="1"/>
  <c r="A10" i="23"/>
  <c r="A29" i="23" s="1"/>
  <c r="A49" i="23" s="1"/>
  <c r="A69" i="23" s="1"/>
  <c r="A11" i="23"/>
  <c r="A30" i="23" s="1"/>
  <c r="A50" i="23" s="1"/>
  <c r="A70" i="23" s="1"/>
  <c r="A15" i="23"/>
  <c r="A34" i="23" s="1"/>
  <c r="A54" i="23" s="1"/>
  <c r="A74" i="23" s="1"/>
  <c r="A16" i="23"/>
  <c r="A35" i="23" s="1"/>
  <c r="A55" i="23" s="1"/>
  <c r="A75" i="23" s="1"/>
  <c r="A17" i="23"/>
  <c r="A36" i="23" s="1"/>
  <c r="A56" i="23" s="1"/>
  <c r="A76" i="23" s="1"/>
  <c r="A9" i="23"/>
  <c r="A28" i="23" s="1"/>
  <c r="A48" i="23" s="1"/>
  <c r="A68" i="23" s="1"/>
  <c r="B6" i="20"/>
  <c r="H20" i="22" l="1"/>
  <c r="D17" i="22"/>
  <c r="D19" i="22"/>
  <c r="D20" i="22"/>
  <c r="D18" i="22"/>
  <c r="H19" i="22"/>
  <c r="I58" i="21"/>
  <c r="I16" i="22"/>
  <c r="H58" i="21"/>
  <c r="G17" i="22"/>
  <c r="J19" i="22"/>
  <c r="H18" i="22"/>
  <c r="G18" i="22"/>
  <c r="G16" i="22"/>
  <c r="J18" i="22"/>
  <c r="F58" i="21"/>
  <c r="I17" i="22"/>
  <c r="J17" i="22"/>
  <c r="H17" i="22"/>
  <c r="I19" i="22"/>
  <c r="G58" i="21"/>
  <c r="G19" i="22"/>
  <c r="I20" i="22"/>
  <c r="J20" i="22"/>
  <c r="G20" i="22"/>
  <c r="J16" i="22"/>
  <c r="H16" i="22"/>
  <c r="I18" i="22"/>
  <c r="E33" i="20" l="1"/>
  <c r="E36" i="20"/>
  <c r="E35" i="20"/>
  <c r="E32" i="20"/>
  <c r="E34" i="20"/>
  <c r="H35" i="23"/>
  <c r="H29" i="23"/>
  <c r="H32" i="23"/>
  <c r="H34" i="23"/>
  <c r="H36" i="23"/>
  <c r="H30" i="23"/>
  <c r="H37" i="23"/>
  <c r="H31" i="23"/>
  <c r="H27" i="23"/>
  <c r="H38" i="23"/>
  <c r="H41" i="23"/>
  <c r="H42" i="23"/>
  <c r="H40" i="23"/>
  <c r="H39" i="23"/>
  <c r="H33" i="23"/>
  <c r="H28" i="23"/>
  <c r="E34" i="23"/>
  <c r="E33" i="23"/>
  <c r="E29" i="23"/>
  <c r="E38" i="23"/>
  <c r="E39" i="23"/>
  <c r="E27" i="23"/>
  <c r="E41" i="23"/>
  <c r="E35" i="23"/>
  <c r="E30" i="23"/>
  <c r="E42" i="23"/>
  <c r="E36" i="23"/>
  <c r="E28" i="23"/>
  <c r="E40" i="23"/>
  <c r="E37" i="23"/>
  <c r="E31" i="23"/>
  <c r="E32" i="23"/>
  <c r="D40" i="23"/>
  <c r="D27" i="23"/>
  <c r="D47" i="23" s="1"/>
  <c r="D35" i="23"/>
  <c r="D29" i="23"/>
  <c r="D36" i="23"/>
  <c r="D30" i="23"/>
  <c r="D37" i="23"/>
  <c r="D31" i="23"/>
  <c r="D38" i="23"/>
  <c r="D32" i="23"/>
  <c r="D34" i="23"/>
  <c r="D28" i="23"/>
  <c r="D39" i="23"/>
  <c r="D33" i="23"/>
  <c r="D41" i="23"/>
  <c r="D42" i="23"/>
  <c r="G36" i="23"/>
  <c r="G30" i="23"/>
  <c r="G37" i="23"/>
  <c r="G31" i="23"/>
  <c r="G34" i="23"/>
  <c r="G35" i="23"/>
  <c r="G42" i="23"/>
  <c r="G38" i="23"/>
  <c r="G32" i="23"/>
  <c r="G27" i="23"/>
  <c r="G39" i="23"/>
  <c r="G33" i="23"/>
  <c r="G28" i="23"/>
  <c r="G29" i="23"/>
  <c r="G41" i="23"/>
  <c r="G40" i="23"/>
  <c r="D21" i="22"/>
  <c r="F41" i="23"/>
  <c r="F38" i="23"/>
  <c r="F32" i="23"/>
  <c r="F42" i="23"/>
  <c r="F39" i="23"/>
  <c r="F33" i="23"/>
  <c r="F27" i="23"/>
  <c r="F29" i="23"/>
  <c r="F40" i="23"/>
  <c r="F34" i="23"/>
  <c r="F28" i="23"/>
  <c r="F36" i="23"/>
  <c r="F30" i="23"/>
  <c r="F37" i="23"/>
  <c r="F31" i="23"/>
  <c r="F35" i="23"/>
  <c r="C37" i="20"/>
  <c r="C28" i="20"/>
  <c r="B35" i="20" l="1"/>
  <c r="B34" i="20"/>
  <c r="B33" i="20"/>
  <c r="B36" i="20"/>
  <c r="I28" i="23"/>
  <c r="I29" i="23"/>
  <c r="J23" i="20"/>
  <c r="E51" i="23"/>
  <c r="G57" i="23"/>
  <c r="G51" i="23"/>
  <c r="D53" i="23"/>
  <c r="I33" i="23"/>
  <c r="E47" i="23"/>
  <c r="E67" i="23"/>
  <c r="E107" i="23"/>
  <c r="E62" i="23"/>
  <c r="E82" i="23"/>
  <c r="E122" i="23"/>
  <c r="E142" i="23" s="1"/>
  <c r="F53" i="23"/>
  <c r="D60" i="23"/>
  <c r="I40" i="23"/>
  <c r="D80" i="23"/>
  <c r="D120" i="23"/>
  <c r="F57" i="23"/>
  <c r="D82" i="23"/>
  <c r="I42" i="23"/>
  <c r="D62" i="23"/>
  <c r="D122" i="23"/>
  <c r="E60" i="23"/>
  <c r="E80" i="23"/>
  <c r="E120" i="23"/>
  <c r="E140" i="23" s="1"/>
  <c r="H52" i="23"/>
  <c r="H59" i="23"/>
  <c r="F61" i="23"/>
  <c r="F81" i="23"/>
  <c r="F121" i="23"/>
  <c r="F141" i="23" s="1"/>
  <c r="G58" i="23"/>
  <c r="D51" i="23"/>
  <c r="I31" i="23"/>
  <c r="I32" i="23"/>
  <c r="D52" i="23"/>
  <c r="E57" i="23"/>
  <c r="H58" i="23"/>
  <c r="F60" i="23"/>
  <c r="F80" i="23"/>
  <c r="F120" i="23"/>
  <c r="F140" i="23" s="1"/>
  <c r="F52" i="23"/>
  <c r="H62" i="23"/>
  <c r="H82" i="23"/>
  <c r="H122" i="23"/>
  <c r="H142" i="23" s="1"/>
  <c r="G62" i="23"/>
  <c r="G82" i="23"/>
  <c r="G122" i="23"/>
  <c r="G142" i="23" s="1"/>
  <c r="G53" i="23"/>
  <c r="D81" i="23"/>
  <c r="I41" i="23"/>
  <c r="D61" i="23"/>
  <c r="D121" i="23"/>
  <c r="E53" i="23"/>
  <c r="E59" i="23"/>
  <c r="H51" i="23"/>
  <c r="F62" i="23"/>
  <c r="F82" i="23"/>
  <c r="F122" i="23"/>
  <c r="F142" i="23" s="1"/>
  <c r="G61" i="23"/>
  <c r="G81" i="23"/>
  <c r="G121" i="23"/>
  <c r="G141" i="23" s="1"/>
  <c r="H53" i="23"/>
  <c r="D59" i="23"/>
  <c r="E61" i="23"/>
  <c r="E81" i="23"/>
  <c r="E121" i="23"/>
  <c r="E141" i="23" s="1"/>
  <c r="E58" i="23"/>
  <c r="H107" i="23"/>
  <c r="H67" i="23"/>
  <c r="H47" i="23"/>
  <c r="H60" i="23"/>
  <c r="H80" i="23"/>
  <c r="H120" i="23"/>
  <c r="H140" i="23" s="1"/>
  <c r="F59" i="23"/>
  <c r="F51" i="23"/>
  <c r="G67" i="23"/>
  <c r="G107" i="23"/>
  <c r="G47" i="23"/>
  <c r="G52" i="23"/>
  <c r="D107" i="23"/>
  <c r="D127" i="23" s="1"/>
  <c r="D57" i="23"/>
  <c r="G59" i="23"/>
  <c r="G60" i="23"/>
  <c r="G80" i="23"/>
  <c r="G120" i="23"/>
  <c r="G140" i="23" s="1"/>
  <c r="D58" i="23"/>
  <c r="E52" i="23"/>
  <c r="H57" i="23"/>
  <c r="H61" i="23"/>
  <c r="H81" i="23"/>
  <c r="H121" i="23"/>
  <c r="H141" i="23" s="1"/>
  <c r="F47" i="23"/>
  <c r="F107" i="23"/>
  <c r="F67" i="23"/>
  <c r="F58" i="23"/>
  <c r="I37" i="23"/>
  <c r="I39" i="23"/>
  <c r="I38" i="23"/>
  <c r="H43" i="23"/>
  <c r="E43" i="23"/>
  <c r="D43" i="23"/>
  <c r="G43" i="23"/>
  <c r="F43" i="23"/>
  <c r="I36" i="23"/>
  <c r="I27" i="23"/>
  <c r="I37" i="20"/>
  <c r="K21" i="22"/>
  <c r="H100" i="23" l="1"/>
  <c r="F100" i="23"/>
  <c r="F101" i="23"/>
  <c r="E102" i="23"/>
  <c r="I82" i="23"/>
  <c r="G100" i="23"/>
  <c r="F102" i="23"/>
  <c r="I59" i="23"/>
  <c r="H102" i="23"/>
  <c r="D140" i="23"/>
  <c r="I140" i="23" s="1"/>
  <c r="I120" i="23"/>
  <c r="I62" i="23"/>
  <c r="D102" i="23"/>
  <c r="I57" i="23"/>
  <c r="I81" i="23"/>
  <c r="D100" i="23"/>
  <c r="I80" i="23"/>
  <c r="I61" i="23"/>
  <c r="D101" i="23"/>
  <c r="I58" i="23"/>
  <c r="E101" i="23"/>
  <c r="G102" i="23"/>
  <c r="H101" i="23"/>
  <c r="D87" i="23"/>
  <c r="I60" i="23"/>
  <c r="G101" i="23"/>
  <c r="D141" i="23"/>
  <c r="I141" i="23" s="1"/>
  <c r="I121" i="23"/>
  <c r="E100" i="23"/>
  <c r="I122" i="23"/>
  <c r="D142" i="23"/>
  <c r="I142" i="23" s="1"/>
  <c r="CE13" i="17"/>
  <c r="CE12" i="17"/>
  <c r="CE11" i="17"/>
  <c r="I100" i="23" l="1"/>
  <c r="I101" i="23"/>
  <c r="I102" i="23"/>
  <c r="CF10" i="17"/>
  <c r="CF14" i="17" s="1"/>
  <c r="CF21" i="17"/>
  <c r="CF22" i="17" s="1"/>
  <c r="CE33" i="17"/>
  <c r="CC10" i="17"/>
  <c r="CC14" i="17" s="1"/>
  <c r="CC27" i="17"/>
  <c r="CB33" i="17"/>
  <c r="CF31" i="17" l="1"/>
  <c r="CF32" i="17"/>
  <c r="CC32" i="17"/>
  <c r="CC31" i="17"/>
  <c r="CC33" i="17" s="1"/>
  <c r="CF28" i="17"/>
  <c r="CC26" i="17"/>
  <c r="CC28" i="17" s="1"/>
  <c r="BP6" i="17"/>
  <c r="BM6" i="17"/>
  <c r="BJ6" i="17"/>
  <c r="AX6" i="17"/>
  <c r="AU6" i="17"/>
  <c r="AR6" i="17"/>
  <c r="AF6" i="17"/>
  <c r="AC6" i="17"/>
  <c r="Z6" i="17"/>
  <c r="N6" i="17"/>
  <c r="K6" i="17"/>
  <c r="H6" i="17"/>
  <c r="I47" i="23" l="1"/>
  <c r="E127" i="23"/>
  <c r="G127" i="23"/>
  <c r="H127" i="23"/>
  <c r="F127" i="23"/>
  <c r="CF33" i="17"/>
  <c r="H87" i="23" l="1"/>
  <c r="F87" i="23"/>
  <c r="G87" i="23"/>
  <c r="E87" i="23"/>
  <c r="I107" i="23"/>
  <c r="I127" i="23"/>
  <c r="I67" i="23"/>
  <c r="B1" i="14"/>
  <c r="C1" i="14" s="1"/>
  <c r="D1" i="14" s="1"/>
  <c r="E1" i="14" s="1"/>
  <c r="F1" i="14" s="1"/>
  <c r="G1" i="14" s="1"/>
  <c r="H1" i="14" s="1"/>
  <c r="I1" i="14" s="1"/>
  <c r="J1" i="14" s="1"/>
  <c r="K1" i="14" s="1"/>
  <c r="L1" i="14" s="1"/>
  <c r="M1" i="14" s="1"/>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A191" i="13"/>
  <c r="A192" i="13"/>
  <c r="A193" i="13"/>
  <c r="A194" i="13"/>
  <c r="A195" i="13"/>
  <c r="A196" i="13"/>
  <c r="A197" i="13"/>
  <c r="A198" i="13"/>
  <c r="A199" i="13"/>
  <c r="A200" i="13"/>
  <c r="A201" i="13"/>
  <c r="A202" i="13"/>
  <c r="A203" i="13"/>
  <c r="A204" i="13"/>
  <c r="A205" i="13"/>
  <c r="A206" i="13"/>
  <c r="A207" i="13"/>
  <c r="A208" i="13"/>
  <c r="A209" i="13"/>
  <c r="A210" i="13"/>
  <c r="A211" i="13"/>
  <c r="A212" i="13"/>
  <c r="A213" i="13"/>
  <c r="A214" i="13"/>
  <c r="A215" i="13"/>
  <c r="A216" i="13"/>
  <c r="A217" i="13"/>
  <c r="A218" i="13"/>
  <c r="A219" i="13"/>
  <c r="A220" i="13"/>
  <c r="A221" i="13"/>
  <c r="A222" i="13"/>
  <c r="A223" i="13"/>
  <c r="A224" i="13"/>
  <c r="A225" i="13"/>
  <c r="A226" i="13"/>
  <c r="A227" i="13"/>
  <c r="A228" i="13"/>
  <c r="A229" i="13"/>
  <c r="A230" i="13"/>
  <c r="A231" i="13"/>
  <c r="A232" i="13"/>
  <c r="A233" i="13"/>
  <c r="A234" i="13"/>
  <c r="A235" i="13"/>
  <c r="A236" i="13"/>
  <c r="A237" i="13"/>
  <c r="A238" i="13"/>
  <c r="A239" i="13"/>
  <c r="A240" i="13"/>
  <c r="A241" i="13"/>
  <c r="A242" i="13"/>
  <c r="A243" i="13"/>
  <c r="A244" i="13"/>
  <c r="A245" i="13"/>
  <c r="A246" i="13"/>
  <c r="A247" i="13"/>
  <c r="A248" i="13"/>
  <c r="A249" i="13"/>
  <c r="A250" i="13"/>
  <c r="A251" i="13"/>
  <c r="A252" i="13"/>
  <c r="A253" i="13"/>
  <c r="A254" i="13"/>
  <c r="A255" i="13"/>
  <c r="A256" i="13"/>
  <c r="A257" i="13"/>
  <c r="A258" i="13"/>
  <c r="A259" i="13"/>
  <c r="A260" i="13"/>
  <c r="A261" i="13"/>
  <c r="A262" i="13"/>
  <c r="A263" i="13"/>
  <c r="A264" i="13"/>
  <c r="A265" i="13"/>
  <c r="A266" i="13"/>
  <c r="A267" i="13"/>
  <c r="A268" i="13"/>
  <c r="A269" i="13"/>
  <c r="A270" i="13"/>
  <c r="A271" i="13"/>
  <c r="A272" i="13"/>
  <c r="A273" i="13"/>
  <c r="A274" i="13"/>
  <c r="A275" i="13"/>
  <c r="A276" i="13"/>
  <c r="A277" i="13"/>
  <c r="A278" i="13"/>
  <c r="A279" i="13"/>
  <c r="A280" i="13"/>
  <c r="A281" i="13"/>
  <c r="A282" i="13"/>
  <c r="A283" i="13"/>
  <c r="A284" i="13"/>
  <c r="A285" i="13"/>
  <c r="A286" i="13"/>
  <c r="A287" i="13"/>
  <c r="A288" i="13"/>
  <c r="A289" i="13"/>
  <c r="A290" i="13"/>
  <c r="A291" i="13"/>
  <c r="A292" i="13"/>
  <c r="A293" i="13"/>
  <c r="A294" i="13"/>
  <c r="A295" i="13"/>
  <c r="A296" i="13"/>
  <c r="A297" i="13"/>
  <c r="A298" i="13"/>
  <c r="A299" i="13"/>
  <c r="A300" i="13"/>
  <c r="A301" i="13"/>
  <c r="A302" i="13"/>
  <c r="A303" i="13"/>
  <c r="A304" i="13"/>
  <c r="A305" i="13"/>
  <c r="A306" i="13"/>
  <c r="A307" i="13"/>
  <c r="A308" i="13"/>
  <c r="A309" i="13"/>
  <c r="A310" i="13"/>
  <c r="A311" i="13"/>
  <c r="A312" i="13"/>
  <c r="A313" i="13"/>
  <c r="A314" i="13"/>
  <c r="A315" i="13"/>
  <c r="A316" i="13"/>
  <c r="A317" i="13"/>
  <c r="A318" i="13"/>
  <c r="A319" i="13"/>
  <c r="A320" i="13"/>
  <c r="A321" i="13"/>
  <c r="A322" i="13"/>
  <c r="A323" i="13"/>
  <c r="A324" i="13"/>
  <c r="A325" i="13"/>
  <c r="A326" i="13"/>
  <c r="A327" i="13"/>
  <c r="A328" i="13"/>
  <c r="A329" i="13"/>
  <c r="A330" i="13"/>
  <c r="A331" i="13"/>
  <c r="A332" i="13"/>
  <c r="A333" i="13"/>
  <c r="A334" i="13"/>
  <c r="A335" i="13"/>
  <c r="A336" i="13"/>
  <c r="A337" i="13"/>
  <c r="A338" i="13"/>
  <c r="A339" i="13"/>
  <c r="A340" i="13"/>
  <c r="A341" i="13"/>
  <c r="A342" i="13"/>
  <c r="A343" i="13"/>
  <c r="A344" i="13"/>
  <c r="A345" i="13"/>
  <c r="A346" i="13"/>
  <c r="A347" i="13"/>
  <c r="A348" i="13"/>
  <c r="A349" i="13"/>
  <c r="A350" i="13"/>
  <c r="A351" i="13"/>
  <c r="A352" i="13"/>
  <c r="A353" i="13"/>
  <c r="A354" i="13"/>
  <c r="A355" i="13"/>
  <c r="A356" i="13"/>
  <c r="A357" i="13"/>
  <c r="A358" i="13"/>
  <c r="A359" i="13"/>
  <c r="A360" i="13"/>
  <c r="A361" i="13"/>
  <c r="A362" i="13"/>
  <c r="A363" i="13"/>
  <c r="A364" i="13"/>
  <c r="A365" i="13"/>
  <c r="A366" i="13"/>
  <c r="A367" i="13"/>
  <c r="A368" i="13"/>
  <c r="A369" i="13"/>
  <c r="A370" i="13"/>
  <c r="A371" i="13"/>
  <c r="A372" i="13"/>
  <c r="A373" i="13"/>
  <c r="A374" i="13"/>
  <c r="A375" i="13"/>
  <c r="A376" i="13"/>
  <c r="A377" i="13"/>
  <c r="A378" i="13"/>
  <c r="A379" i="13"/>
  <c r="A380" i="13"/>
  <c r="A381" i="13"/>
  <c r="A382" i="13"/>
  <c r="A383" i="13"/>
  <c r="A384" i="13"/>
  <c r="A385" i="13"/>
  <c r="A386" i="13"/>
  <c r="A387" i="13"/>
  <c r="A388" i="13"/>
  <c r="A389" i="13"/>
  <c r="A390" i="13"/>
  <c r="A391" i="13"/>
  <c r="A392" i="13"/>
  <c r="A393" i="13"/>
  <c r="A394" i="13"/>
  <c r="A395" i="13"/>
  <c r="A396" i="13"/>
  <c r="A397" i="13"/>
  <c r="A398" i="13"/>
  <c r="A399" i="13"/>
  <c r="A400" i="13"/>
  <c r="A401" i="13"/>
  <c r="A402" i="13"/>
  <c r="A403" i="13"/>
  <c r="A404" i="13"/>
  <c r="A405" i="13"/>
  <c r="A406" i="13"/>
  <c r="A407" i="13"/>
  <c r="A408" i="13"/>
  <c r="A409" i="13"/>
  <c r="A410" i="13"/>
  <c r="A411" i="13"/>
  <c r="A412" i="13"/>
  <c r="A413" i="13"/>
  <c r="A414" i="13"/>
  <c r="A415" i="13"/>
  <c r="A416" i="13"/>
  <c r="A417" i="13"/>
  <c r="A418" i="13"/>
  <c r="A419" i="13"/>
  <c r="A420" i="13"/>
  <c r="A421" i="13"/>
  <c r="A422" i="13"/>
  <c r="A423" i="13"/>
  <c r="A424" i="13"/>
  <c r="A425" i="13"/>
  <c r="A426" i="13"/>
  <c r="A427" i="13"/>
  <c r="A428" i="13"/>
  <c r="A429" i="13"/>
  <c r="A430" i="13"/>
  <c r="A431" i="13"/>
  <c r="A432" i="13"/>
  <c r="A433" i="13"/>
  <c r="A434" i="13"/>
  <c r="A435" i="13"/>
  <c r="A436" i="13"/>
  <c r="A437" i="13"/>
  <c r="A438" i="13"/>
  <c r="A439" i="13"/>
  <c r="A440" i="13"/>
  <c r="A441" i="13"/>
  <c r="A442" i="13"/>
  <c r="A443" i="13"/>
  <c r="A444" i="13"/>
  <c r="A445" i="13"/>
  <c r="A446" i="13"/>
  <c r="A447" i="13"/>
  <c r="A448" i="13"/>
  <c r="A449" i="13"/>
  <c r="A450" i="13"/>
  <c r="A451" i="13"/>
  <c r="A452" i="13"/>
  <c r="A453" i="13"/>
  <c r="A454" i="13"/>
  <c r="A455" i="13"/>
  <c r="A456" i="13"/>
  <c r="A457" i="13"/>
  <c r="A458" i="13"/>
  <c r="A459" i="13"/>
  <c r="A460" i="13"/>
  <c r="A461" i="13"/>
  <c r="A462" i="13"/>
  <c r="A463" i="13"/>
  <c r="A464" i="13"/>
  <c r="A465" i="13"/>
  <c r="A466" i="13"/>
  <c r="A467" i="13"/>
  <c r="A468" i="13"/>
  <c r="A469" i="13"/>
  <c r="A470" i="13"/>
  <c r="B1" i="13"/>
  <c r="C1" i="13" s="1"/>
  <c r="D1" i="13" s="1"/>
  <c r="E1" i="13" s="1"/>
  <c r="A3" i="13"/>
  <c r="X84" i="16" l="1"/>
  <c r="BD12" i="17" s="1"/>
  <c r="O102" i="16"/>
  <c r="AO12" i="17" s="1"/>
  <c r="AO14" i="17" s="1"/>
  <c r="AP12" i="17" s="1"/>
  <c r="F66" i="16"/>
  <c r="Q12" i="17" s="1"/>
  <c r="Q14" i="17" s="1"/>
  <c r="R12" i="17" s="1"/>
  <c r="F84" i="16"/>
  <c r="T12" i="17" s="1"/>
  <c r="T14" i="17" s="1"/>
  <c r="U12" i="17" s="1"/>
  <c r="O84" i="16"/>
  <c r="AL12" i="17" s="1"/>
  <c r="AL14" i="17" s="1"/>
  <c r="O66" i="16"/>
  <c r="AI12" i="17" s="1"/>
  <c r="AI14" i="17" s="1"/>
  <c r="F102" i="16"/>
  <c r="W12" i="17" s="1"/>
  <c r="W14" i="17" s="1"/>
  <c r="X12" i="17" s="1"/>
  <c r="AG84" i="16"/>
  <c r="BV12" i="17" s="1"/>
  <c r="AG66" i="16"/>
  <c r="AG68" i="16" s="1"/>
  <c r="AG102" i="16"/>
  <c r="BY12" i="17" s="1"/>
  <c r="X102" i="16"/>
  <c r="X104" i="16" s="1"/>
  <c r="X66" i="16"/>
  <c r="BA12" i="17" s="1"/>
  <c r="BA14" i="17" s="1"/>
  <c r="BB13" i="17" s="1"/>
  <c r="I87" i="23"/>
  <c r="A38" i="10"/>
  <c r="A35" i="10"/>
  <c r="A32" i="10"/>
  <c r="A29" i="10"/>
  <c r="A26" i="10"/>
  <c r="A23" i="10"/>
  <c r="A20" i="10"/>
  <c r="A17" i="10"/>
  <c r="A14" i="10"/>
  <c r="A11" i="10"/>
  <c r="A8" i="10"/>
  <c r="A5" i="10"/>
  <c r="F68" i="16" l="1"/>
  <c r="G65" i="16" s="1"/>
  <c r="F86" i="16"/>
  <c r="X86" i="16"/>
  <c r="Y84" i="16" s="1"/>
  <c r="O104" i="16"/>
  <c r="P100" i="16" s="1"/>
  <c r="F104" i="16"/>
  <c r="F113" i="16" s="1"/>
  <c r="BS12" i="17"/>
  <c r="AG86" i="16"/>
  <c r="AH84" i="16" s="1"/>
  <c r="AG104" i="16"/>
  <c r="AH102" i="16" s="1"/>
  <c r="O86" i="16"/>
  <c r="O95" i="16" s="1"/>
  <c r="BG12" i="17"/>
  <c r="BG14" i="17" s="1"/>
  <c r="BA23" i="17"/>
  <c r="X68" i="16"/>
  <c r="X77" i="16" s="1"/>
  <c r="BB10" i="17"/>
  <c r="BB11" i="17"/>
  <c r="O68" i="16"/>
  <c r="Y66" i="16" s="1"/>
  <c r="BB12" i="17"/>
  <c r="BV14" i="17"/>
  <c r="BY14" i="17"/>
  <c r="X113" i="16"/>
  <c r="Y101" i="16"/>
  <c r="Y100" i="16"/>
  <c r="Y103" i="16"/>
  <c r="X11" i="17"/>
  <c r="X10" i="17"/>
  <c r="X13" i="17"/>
  <c r="W23" i="17"/>
  <c r="X95" i="16"/>
  <c r="Y83" i="16"/>
  <c r="Y82" i="16"/>
  <c r="Y85" i="16"/>
  <c r="AI23" i="17"/>
  <c r="AJ10" i="17"/>
  <c r="AJ11" i="17"/>
  <c r="AJ13" i="17"/>
  <c r="AJ12" i="17"/>
  <c r="BS14" i="17"/>
  <c r="BT12" i="17" s="1"/>
  <c r="AM10" i="17"/>
  <c r="AM11" i="17"/>
  <c r="AM13" i="17"/>
  <c r="AL23" i="17"/>
  <c r="AO23" i="17"/>
  <c r="AP13" i="17"/>
  <c r="AP11" i="17"/>
  <c r="AP10" i="17"/>
  <c r="U13" i="17"/>
  <c r="U11" i="17"/>
  <c r="U10" i="17"/>
  <c r="T23" i="17"/>
  <c r="BD14" i="17"/>
  <c r="AG77" i="16"/>
  <c r="AH67" i="16"/>
  <c r="AH65" i="16"/>
  <c r="AH64" i="16"/>
  <c r="AH66" i="16"/>
  <c r="Y102" i="16"/>
  <c r="R11" i="17"/>
  <c r="R13" i="17"/>
  <c r="R10" i="17"/>
  <c r="Q23" i="17"/>
  <c r="AM12" i="17"/>
  <c r="P101" i="16"/>
  <c r="P102" i="16"/>
  <c r="G101" i="16"/>
  <c r="G103" i="16"/>
  <c r="G100" i="16"/>
  <c r="F95" i="16"/>
  <c r="G85" i="16"/>
  <c r="G82" i="16"/>
  <c r="G83" i="16"/>
  <c r="G102" i="16"/>
  <c r="G84" i="16"/>
  <c r="F21" i="22"/>
  <c r="C21" i="22"/>
  <c r="G13" i="8"/>
  <c r="G94" i="8"/>
  <c r="G11" i="8"/>
  <c r="G30" i="8"/>
  <c r="G90" i="8"/>
  <c r="G18" i="8"/>
  <c r="G28" i="8"/>
  <c r="G57" i="8"/>
  <c r="G10" i="8"/>
  <c r="G85" i="8"/>
  <c r="G105" i="8"/>
  <c r="G50" i="8"/>
  <c r="G108" i="8"/>
  <c r="G17" i="8"/>
  <c r="G52" i="8"/>
  <c r="G48" i="8"/>
  <c r="G24" i="8"/>
  <c r="G101" i="8"/>
  <c r="G66" i="8"/>
  <c r="G83" i="8"/>
  <c r="G14" i="8"/>
  <c r="G73" i="8"/>
  <c r="G49" i="8"/>
  <c r="G65" i="8"/>
  <c r="G76" i="8"/>
  <c r="G4" i="8"/>
  <c r="G15" i="8"/>
  <c r="G54" i="8"/>
  <c r="G70" i="8"/>
  <c r="G43" i="8"/>
  <c r="G21" i="8"/>
  <c r="G36" i="8"/>
  <c r="G96" i="8"/>
  <c r="G7" i="8"/>
  <c r="G29" i="8"/>
  <c r="G32" i="8"/>
  <c r="G107" i="8"/>
  <c r="G40" i="8"/>
  <c r="G26" i="8"/>
  <c r="G55" i="8"/>
  <c r="G78" i="8"/>
  <c r="G99" i="8"/>
  <c r="G37" i="8"/>
  <c r="G64" i="8"/>
  <c r="G84" i="8"/>
  <c r="G80" i="8"/>
  <c r="G19" i="8"/>
  <c r="G68" i="8"/>
  <c r="G20" i="8"/>
  <c r="G56" i="8"/>
  <c r="G81" i="8"/>
  <c r="G38" i="8"/>
  <c r="G82" i="8"/>
  <c r="G67" i="8"/>
  <c r="G2" i="8"/>
  <c r="G88" i="8"/>
  <c r="G5" i="8"/>
  <c r="G9" i="8"/>
  <c r="G62" i="8"/>
  <c r="G104" i="8"/>
  <c r="G109" i="8"/>
  <c r="G58" i="8"/>
  <c r="G22" i="8"/>
  <c r="G69" i="8"/>
  <c r="G74" i="8"/>
  <c r="G45" i="8"/>
  <c r="G27" i="8"/>
  <c r="G41" i="8"/>
  <c r="G75" i="8"/>
  <c r="G61" i="8"/>
  <c r="G87" i="8"/>
  <c r="G100" i="8"/>
  <c r="G35" i="8"/>
  <c r="G23" i="8"/>
  <c r="G39" i="8"/>
  <c r="G34" i="8"/>
  <c r="G63" i="8"/>
  <c r="G8" i="8"/>
  <c r="G86" i="8"/>
  <c r="G60" i="8"/>
  <c r="G47" i="8"/>
  <c r="G3" i="8"/>
  <c r="G16" i="8"/>
  <c r="G51" i="8"/>
  <c r="G103" i="8"/>
  <c r="G89" i="8"/>
  <c r="G77" i="8"/>
  <c r="G44" i="8"/>
  <c r="G59" i="8"/>
  <c r="G93" i="8"/>
  <c r="G79" i="8"/>
  <c r="G46" i="8"/>
  <c r="G97" i="8"/>
  <c r="G25" i="8"/>
  <c r="G12" i="8"/>
  <c r="G106" i="8"/>
  <c r="G6" i="8"/>
  <c r="G42" i="8"/>
  <c r="G53" i="8"/>
  <c r="G72" i="8"/>
  <c r="G33" i="8"/>
  <c r="G92" i="8"/>
  <c r="G98" i="8"/>
  <c r="G91" i="8"/>
  <c r="G102" i="8"/>
  <c r="G31" i="8"/>
  <c r="G71" i="8"/>
  <c r="G95" i="8"/>
  <c r="E13" i="8"/>
  <c r="E94" i="8"/>
  <c r="E11" i="8"/>
  <c r="E30" i="8"/>
  <c r="E90" i="8"/>
  <c r="E18" i="8"/>
  <c r="E28" i="8"/>
  <c r="E57" i="8"/>
  <c r="E10" i="8"/>
  <c r="E85" i="8"/>
  <c r="E105" i="8"/>
  <c r="E50" i="8"/>
  <c r="E108" i="8"/>
  <c r="E17" i="8"/>
  <c r="E52" i="8"/>
  <c r="E48" i="8"/>
  <c r="E24" i="8"/>
  <c r="E101" i="8"/>
  <c r="E66" i="8"/>
  <c r="E83" i="8"/>
  <c r="E14" i="8"/>
  <c r="E73" i="8"/>
  <c r="E49" i="8"/>
  <c r="E65" i="8"/>
  <c r="E76" i="8"/>
  <c r="E4" i="8"/>
  <c r="E15" i="8"/>
  <c r="E54" i="8"/>
  <c r="E70" i="8"/>
  <c r="E43" i="8"/>
  <c r="E21" i="8"/>
  <c r="E36" i="8"/>
  <c r="E96" i="8"/>
  <c r="E7" i="8"/>
  <c r="E29" i="8"/>
  <c r="E32" i="8"/>
  <c r="E107" i="8"/>
  <c r="E40" i="8"/>
  <c r="E26" i="8"/>
  <c r="E55" i="8"/>
  <c r="E78" i="8"/>
  <c r="E99" i="8"/>
  <c r="E37" i="8"/>
  <c r="E64" i="8"/>
  <c r="E84" i="8"/>
  <c r="E80" i="8"/>
  <c r="E19" i="8"/>
  <c r="E68" i="8"/>
  <c r="E20" i="8"/>
  <c r="E56" i="8"/>
  <c r="E81" i="8"/>
  <c r="E38" i="8"/>
  <c r="E82" i="8"/>
  <c r="E67" i="8"/>
  <c r="E2" i="8"/>
  <c r="E88" i="8"/>
  <c r="E5" i="8"/>
  <c r="E9" i="8"/>
  <c r="E62" i="8"/>
  <c r="E104" i="8"/>
  <c r="E109" i="8"/>
  <c r="E58" i="8"/>
  <c r="E22" i="8"/>
  <c r="E69" i="8"/>
  <c r="E74" i="8"/>
  <c r="E45" i="8"/>
  <c r="E27" i="8"/>
  <c r="E41" i="8"/>
  <c r="E75" i="8"/>
  <c r="E61" i="8"/>
  <c r="E87" i="8"/>
  <c r="E100" i="8"/>
  <c r="E35" i="8"/>
  <c r="E23" i="8"/>
  <c r="E39" i="8"/>
  <c r="E34" i="8"/>
  <c r="E63" i="8"/>
  <c r="E8" i="8"/>
  <c r="E86" i="8"/>
  <c r="E60" i="8"/>
  <c r="E47" i="8"/>
  <c r="E3" i="8"/>
  <c r="E16" i="8"/>
  <c r="E51" i="8"/>
  <c r="E103" i="8"/>
  <c r="E89" i="8"/>
  <c r="E77" i="8"/>
  <c r="E44" i="8"/>
  <c r="E59" i="8"/>
  <c r="E93" i="8"/>
  <c r="E79" i="8"/>
  <c r="E46" i="8"/>
  <c r="E97" i="8"/>
  <c r="E25" i="8"/>
  <c r="E12" i="8"/>
  <c r="E106" i="8"/>
  <c r="E6" i="8"/>
  <c r="E42" i="8"/>
  <c r="E53" i="8"/>
  <c r="E72" i="8"/>
  <c r="E33" i="8"/>
  <c r="E92" i="8"/>
  <c r="E98" i="8"/>
  <c r="E91" i="8"/>
  <c r="E102" i="8"/>
  <c r="E31" i="8"/>
  <c r="E71" i="8"/>
  <c r="E95" i="8"/>
  <c r="P84" i="16" l="1"/>
  <c r="F77" i="16"/>
  <c r="G66" i="16"/>
  <c r="G67" i="16"/>
  <c r="G64" i="16"/>
  <c r="P103" i="16"/>
  <c r="O113" i="16"/>
  <c r="Q109" i="16" s="1"/>
  <c r="P85" i="16"/>
  <c r="P83" i="16"/>
  <c r="P82" i="16"/>
  <c r="AH85" i="16"/>
  <c r="AH103" i="16"/>
  <c r="AH83" i="16"/>
  <c r="BB14" i="17"/>
  <c r="AH82" i="16"/>
  <c r="AG95" i="16"/>
  <c r="AI89" i="16" s="1"/>
  <c r="AH100" i="16"/>
  <c r="AH101" i="16"/>
  <c r="AG113" i="16"/>
  <c r="AI103" i="16" s="1"/>
  <c r="O77" i="16"/>
  <c r="Z72" i="16" s="1"/>
  <c r="P65" i="16"/>
  <c r="Y64" i="16"/>
  <c r="P64" i="16"/>
  <c r="Y65" i="16"/>
  <c r="P66" i="16"/>
  <c r="Y67" i="16"/>
  <c r="P67" i="16"/>
  <c r="AP14" i="17"/>
  <c r="AJ14" i="17"/>
  <c r="X14" i="17"/>
  <c r="U14" i="17"/>
  <c r="BG23" i="17"/>
  <c r="BH13" i="17"/>
  <c r="BH11" i="17"/>
  <c r="BH10" i="17"/>
  <c r="AM14" i="17"/>
  <c r="R14" i="17"/>
  <c r="BH12" i="17"/>
  <c r="BT10" i="17"/>
  <c r="BT13" i="17"/>
  <c r="BT11" i="17"/>
  <c r="BS23" i="17"/>
  <c r="Z109" i="16"/>
  <c r="Z101" i="16"/>
  <c r="Z106" i="16"/>
  <c r="Z107" i="16"/>
  <c r="Z111" i="16"/>
  <c r="Z108" i="16"/>
  <c r="Z110" i="16"/>
  <c r="Z103" i="16"/>
  <c r="Z100" i="16"/>
  <c r="Z102" i="16"/>
  <c r="BE13" i="17"/>
  <c r="BE10" i="17"/>
  <c r="BE11" i="17"/>
  <c r="BD23" i="17"/>
  <c r="BE12" i="17"/>
  <c r="AH68" i="16"/>
  <c r="BZ13" i="17"/>
  <c r="BZ10" i="17"/>
  <c r="BZ11" i="17"/>
  <c r="BY23" i="17"/>
  <c r="BZ12" i="17"/>
  <c r="Z90" i="16"/>
  <c r="Z91" i="16"/>
  <c r="Z92" i="16"/>
  <c r="Z88" i="16"/>
  <c r="Z82" i="16"/>
  <c r="Z83" i="16"/>
  <c r="Z93" i="16"/>
  <c r="Z89" i="16"/>
  <c r="Z85" i="16"/>
  <c r="Z84" i="16"/>
  <c r="BW13" i="17"/>
  <c r="BW11" i="17"/>
  <c r="BW10" i="17"/>
  <c r="BV23" i="17"/>
  <c r="AI73" i="16"/>
  <c r="AI64" i="16"/>
  <c r="AI67" i="16"/>
  <c r="AI75" i="16"/>
  <c r="AI74" i="16"/>
  <c r="AI72" i="16"/>
  <c r="AI65" i="16"/>
  <c r="AI70" i="16"/>
  <c r="AI71" i="16"/>
  <c r="AI66" i="16"/>
  <c r="BW12" i="17"/>
  <c r="Q92" i="16"/>
  <c r="Q88" i="16"/>
  <c r="Q90" i="16"/>
  <c r="Q85" i="16"/>
  <c r="Q89" i="16"/>
  <c r="Q91" i="16"/>
  <c r="Q93" i="16"/>
  <c r="Q82" i="16"/>
  <c r="Q83" i="16"/>
  <c r="Q84" i="16"/>
  <c r="Y104" i="16"/>
  <c r="H75" i="16"/>
  <c r="H72" i="16"/>
  <c r="H74" i="16"/>
  <c r="H70" i="16"/>
  <c r="H73" i="16"/>
  <c r="H71" i="16"/>
  <c r="H67" i="16"/>
  <c r="H65" i="16"/>
  <c r="H64" i="16"/>
  <c r="H66" i="16"/>
  <c r="Y86" i="16"/>
  <c r="H89" i="16"/>
  <c r="H83" i="16"/>
  <c r="H88" i="16"/>
  <c r="H85" i="16"/>
  <c r="H82" i="16"/>
  <c r="H93" i="16"/>
  <c r="H90" i="16"/>
  <c r="H91" i="16"/>
  <c r="H92" i="16"/>
  <c r="H84" i="16"/>
  <c r="H106" i="16"/>
  <c r="H110" i="16"/>
  <c r="H103" i="16"/>
  <c r="H109" i="16"/>
  <c r="H108" i="16"/>
  <c r="H100" i="16"/>
  <c r="H111" i="16"/>
  <c r="H101" i="16"/>
  <c r="H107" i="16"/>
  <c r="H102" i="16"/>
  <c r="G68" i="16"/>
  <c r="Q101" i="16"/>
  <c r="Q108" i="16"/>
  <c r="Q103" i="16"/>
  <c r="Q111" i="16"/>
  <c r="Q102" i="16"/>
  <c r="J24" i="20"/>
  <c r="J26" i="20"/>
  <c r="J27" i="20"/>
  <c r="D28" i="20"/>
  <c r="I34" i="23"/>
  <c r="I30" i="23"/>
  <c r="I35" i="23"/>
  <c r="B28" i="20"/>
  <c r="I21" i="22"/>
  <c r="J25" i="20"/>
  <c r="G21" i="22"/>
  <c r="H21" i="22"/>
  <c r="J21" i="22"/>
  <c r="C10" i="9"/>
  <c r="C6" i="10" s="1"/>
  <c r="I17" i="9"/>
  <c r="K13" i="9"/>
  <c r="F15" i="10" s="1"/>
  <c r="K17" i="9"/>
  <c r="J15" i="10" s="1"/>
  <c r="I13" i="9"/>
  <c r="C13" i="9"/>
  <c r="E17" i="9"/>
  <c r="J6" i="10" s="1"/>
  <c r="E33" i="9"/>
  <c r="J9" i="10" s="1"/>
  <c r="E48" i="9"/>
  <c r="J12" i="10" s="1"/>
  <c r="I48" i="9"/>
  <c r="O48" i="9"/>
  <c r="Q17" i="9"/>
  <c r="J24" i="10" s="1"/>
  <c r="U13" i="9"/>
  <c r="W13" i="9"/>
  <c r="F33" i="10" s="1"/>
  <c r="W29" i="9"/>
  <c r="F36" i="10" s="1"/>
  <c r="U44" i="9"/>
  <c r="I10" i="9"/>
  <c r="C15" i="10" s="1"/>
  <c r="K48" i="9"/>
  <c r="Q48" i="9"/>
  <c r="J30" i="10" s="1"/>
  <c r="U17" i="9"/>
  <c r="U48" i="9"/>
  <c r="E13" i="9"/>
  <c r="F6" i="10" s="1"/>
  <c r="W48" i="9"/>
  <c r="J39" i="10" s="1"/>
  <c r="W33" i="9"/>
  <c r="J36" i="10" s="1"/>
  <c r="U26" i="9"/>
  <c r="C36" i="10" s="1"/>
  <c r="U33" i="9"/>
  <c r="W17" i="9"/>
  <c r="J33" i="10" s="1"/>
  <c r="O13" i="9"/>
  <c r="O41" i="9"/>
  <c r="C30" i="10" s="1"/>
  <c r="Q29" i="9"/>
  <c r="F27" i="10" s="1"/>
  <c r="O33" i="9"/>
  <c r="I41" i="9"/>
  <c r="C21" i="10" s="1"/>
  <c r="K29" i="9"/>
  <c r="F18" i="10" s="1"/>
  <c r="I33" i="9"/>
  <c r="E44" i="9"/>
  <c r="F12" i="10" s="1"/>
  <c r="C33" i="9"/>
  <c r="C26" i="9"/>
  <c r="C9" i="10" s="1"/>
  <c r="E29" i="9"/>
  <c r="F9" i="10" s="1"/>
  <c r="C41" i="9"/>
  <c r="C12" i="10" s="1"/>
  <c r="I29" i="9"/>
  <c r="K33" i="9"/>
  <c r="J18" i="10" s="1"/>
  <c r="I44" i="9"/>
  <c r="O26" i="9"/>
  <c r="C27" i="10" s="1"/>
  <c r="Q33" i="9"/>
  <c r="J27" i="10" s="1"/>
  <c r="O44" i="9"/>
  <c r="Q13" i="9"/>
  <c r="F24" i="10" s="1"/>
  <c r="O10" i="9"/>
  <c r="C24" i="10" s="1"/>
  <c r="C17" i="9"/>
  <c r="C29" i="9"/>
  <c r="C44" i="9"/>
  <c r="C48" i="9"/>
  <c r="I26" i="9"/>
  <c r="C18" i="10" s="1"/>
  <c r="K44" i="9"/>
  <c r="O29" i="9"/>
  <c r="Q44" i="9"/>
  <c r="F30" i="10" s="1"/>
  <c r="O17" i="9"/>
  <c r="U10" i="9"/>
  <c r="C33" i="10" s="1"/>
  <c r="U29" i="9"/>
  <c r="U41" i="9"/>
  <c r="C39" i="10" s="1"/>
  <c r="W44" i="9"/>
  <c r="F39" i="10" s="1"/>
  <c r="AL95" i="8"/>
  <c r="AI95" i="8"/>
  <c r="AD95" i="8"/>
  <c r="AB95" i="8" s="1"/>
  <c r="U95" i="8"/>
  <c r="H95" i="8" s="1"/>
  <c r="F95" i="8" s="1"/>
  <c r="AL71" i="8"/>
  <c r="AI71" i="8"/>
  <c r="AD71" i="8"/>
  <c r="AB71" i="8" s="1"/>
  <c r="U71" i="8"/>
  <c r="H71" i="8" s="1"/>
  <c r="F71" i="8" s="1"/>
  <c r="AL31" i="8"/>
  <c r="AI31" i="8"/>
  <c r="AD31" i="8"/>
  <c r="AB31" i="8" s="1"/>
  <c r="U31" i="8"/>
  <c r="H31" i="8" s="1"/>
  <c r="F31" i="8" s="1"/>
  <c r="AL102" i="8"/>
  <c r="AI102" i="8"/>
  <c r="AD102" i="8"/>
  <c r="AB102" i="8" s="1"/>
  <c r="U102" i="8"/>
  <c r="H102" i="8" s="1"/>
  <c r="F102" i="8" s="1"/>
  <c r="AL91" i="8"/>
  <c r="AI91" i="8"/>
  <c r="AD91" i="8"/>
  <c r="AB91" i="8" s="1"/>
  <c r="U91" i="8"/>
  <c r="H91" i="8" s="1"/>
  <c r="F91" i="8" s="1"/>
  <c r="AL98" i="8"/>
  <c r="AI98" i="8"/>
  <c r="AD98" i="8"/>
  <c r="AB98" i="8" s="1"/>
  <c r="U98" i="8"/>
  <c r="H98" i="8" s="1"/>
  <c r="F98" i="8" s="1"/>
  <c r="AL92" i="8"/>
  <c r="AI92" i="8"/>
  <c r="AD92" i="8"/>
  <c r="AB92" i="8" s="1"/>
  <c r="U92" i="8"/>
  <c r="H92" i="8" s="1"/>
  <c r="F92" i="8" s="1"/>
  <c r="AL33" i="8"/>
  <c r="AI33" i="8"/>
  <c r="AD33" i="8"/>
  <c r="AB33" i="8" s="1"/>
  <c r="U33" i="8"/>
  <c r="H33" i="8" s="1"/>
  <c r="F33" i="8" s="1"/>
  <c r="AL72" i="8"/>
  <c r="AI72" i="8"/>
  <c r="AD72" i="8"/>
  <c r="AB72" i="8" s="1"/>
  <c r="U72" i="8"/>
  <c r="H72" i="8" s="1"/>
  <c r="F72" i="8" s="1"/>
  <c r="AL53" i="8"/>
  <c r="AI53" i="8"/>
  <c r="AD53" i="8"/>
  <c r="AB53" i="8" s="1"/>
  <c r="U53" i="8"/>
  <c r="H53" i="8" s="1"/>
  <c r="F53" i="8" s="1"/>
  <c r="AL42" i="8"/>
  <c r="AI42" i="8"/>
  <c r="AD42" i="8"/>
  <c r="AB42" i="8" s="1"/>
  <c r="U42" i="8"/>
  <c r="H42" i="8" s="1"/>
  <c r="F42" i="8" s="1"/>
  <c r="AL6" i="8"/>
  <c r="AI6" i="8"/>
  <c r="AD6" i="8"/>
  <c r="AB6" i="8" s="1"/>
  <c r="U6" i="8"/>
  <c r="H6" i="8" s="1"/>
  <c r="F6" i="8" s="1"/>
  <c r="AL106" i="8"/>
  <c r="AI106" i="8"/>
  <c r="AD106" i="8"/>
  <c r="AB106" i="8" s="1"/>
  <c r="U106" i="8"/>
  <c r="H106" i="8" s="1"/>
  <c r="F106" i="8" s="1"/>
  <c r="AL12" i="8"/>
  <c r="AI12" i="8"/>
  <c r="AD12" i="8"/>
  <c r="AB12" i="8" s="1"/>
  <c r="U12" i="8"/>
  <c r="H12" i="8" s="1"/>
  <c r="AL25" i="8"/>
  <c r="AI25" i="8"/>
  <c r="AD25" i="8"/>
  <c r="AB25" i="8" s="1"/>
  <c r="U25" i="8"/>
  <c r="H25" i="8" s="1"/>
  <c r="F25" i="8" s="1"/>
  <c r="AL97" i="8"/>
  <c r="AI97" i="8"/>
  <c r="AD97" i="8"/>
  <c r="AB97" i="8" s="1"/>
  <c r="U97" i="8"/>
  <c r="H97" i="8" s="1"/>
  <c r="F97" i="8" s="1"/>
  <c r="AL46" i="8"/>
  <c r="AI46" i="8"/>
  <c r="AD46" i="8"/>
  <c r="AB46" i="8" s="1"/>
  <c r="U46" i="8"/>
  <c r="H46" i="8" s="1"/>
  <c r="F46" i="8" s="1"/>
  <c r="AL79" i="8"/>
  <c r="AI79" i="8"/>
  <c r="AD79" i="8"/>
  <c r="AB79" i="8" s="1"/>
  <c r="U79" i="8"/>
  <c r="H79" i="8" s="1"/>
  <c r="F79" i="8" s="1"/>
  <c r="AL93" i="8"/>
  <c r="AI93" i="8"/>
  <c r="AD93" i="8"/>
  <c r="AB93" i="8" s="1"/>
  <c r="U93" i="8"/>
  <c r="H93" i="8" s="1"/>
  <c r="F93" i="8" s="1"/>
  <c r="AL59" i="8"/>
  <c r="AI59" i="8"/>
  <c r="AD59" i="8"/>
  <c r="AB59" i="8" s="1"/>
  <c r="U59" i="8"/>
  <c r="H59" i="8" s="1"/>
  <c r="F59" i="8" s="1"/>
  <c r="AL44" i="8"/>
  <c r="AI44" i="8"/>
  <c r="AD44" i="8"/>
  <c r="AB44" i="8" s="1"/>
  <c r="U44" i="8"/>
  <c r="H44" i="8" s="1"/>
  <c r="F44" i="8" s="1"/>
  <c r="AL77" i="8"/>
  <c r="AI77" i="8"/>
  <c r="AD77" i="8"/>
  <c r="AB77" i="8" s="1"/>
  <c r="U77" i="8"/>
  <c r="H77" i="8" s="1"/>
  <c r="F77" i="8" s="1"/>
  <c r="AL89" i="8"/>
  <c r="AI89" i="8"/>
  <c r="AD89" i="8"/>
  <c r="AB89" i="8" s="1"/>
  <c r="U89" i="8"/>
  <c r="H89" i="8" s="1"/>
  <c r="F89" i="8" s="1"/>
  <c r="AL103" i="8"/>
  <c r="AI103" i="8"/>
  <c r="AD103" i="8"/>
  <c r="AB103" i="8" s="1"/>
  <c r="U103" i="8"/>
  <c r="H103" i="8" s="1"/>
  <c r="F103" i="8" s="1"/>
  <c r="AL51" i="8"/>
  <c r="AI51" i="8"/>
  <c r="AD51" i="8"/>
  <c r="AB51" i="8" s="1"/>
  <c r="U51" i="8"/>
  <c r="H51" i="8" s="1"/>
  <c r="F51" i="8" s="1"/>
  <c r="AL16" i="8"/>
  <c r="AI16" i="8"/>
  <c r="AD16" i="8"/>
  <c r="AB16" i="8" s="1"/>
  <c r="U16" i="8"/>
  <c r="H16" i="8" s="1"/>
  <c r="F16" i="8" s="1"/>
  <c r="AL3" i="8"/>
  <c r="AI3" i="8"/>
  <c r="AD3" i="8"/>
  <c r="AB3" i="8" s="1"/>
  <c r="U3" i="8"/>
  <c r="H3" i="8" s="1"/>
  <c r="F3" i="8" s="1"/>
  <c r="AL47" i="8"/>
  <c r="AI47" i="8"/>
  <c r="AD47" i="8"/>
  <c r="AB47" i="8" s="1"/>
  <c r="U47" i="8"/>
  <c r="H47" i="8" s="1"/>
  <c r="F47" i="8" s="1"/>
  <c r="AL60" i="8"/>
  <c r="AI60" i="8"/>
  <c r="AD60" i="8"/>
  <c r="AB60" i="8" s="1"/>
  <c r="U60" i="8"/>
  <c r="H60" i="8" s="1"/>
  <c r="F60" i="8" s="1"/>
  <c r="AL86" i="8"/>
  <c r="AI86" i="8"/>
  <c r="AD86" i="8"/>
  <c r="AB86" i="8" s="1"/>
  <c r="U86" i="8"/>
  <c r="H86" i="8" s="1"/>
  <c r="F86" i="8" s="1"/>
  <c r="AL8" i="8"/>
  <c r="AI8" i="8"/>
  <c r="AD8" i="8"/>
  <c r="AB8" i="8" s="1"/>
  <c r="U8" i="8"/>
  <c r="H8" i="8" s="1"/>
  <c r="F8" i="8" s="1"/>
  <c r="AL63" i="8"/>
  <c r="AI63" i="8"/>
  <c r="AD63" i="8"/>
  <c r="AB63" i="8" s="1"/>
  <c r="U63" i="8"/>
  <c r="H63" i="8" s="1"/>
  <c r="F63" i="8" s="1"/>
  <c r="AL34" i="8"/>
  <c r="O22" i="9" s="1"/>
  <c r="AI34" i="8"/>
  <c r="O21" i="9" s="1"/>
  <c r="AD34" i="8"/>
  <c r="U34" i="8"/>
  <c r="H34" i="8" s="1"/>
  <c r="O14" i="9" s="1"/>
  <c r="AL39" i="8"/>
  <c r="AI39" i="8"/>
  <c r="AD39" i="8"/>
  <c r="AB39" i="8" s="1"/>
  <c r="U39" i="8"/>
  <c r="H39" i="8" s="1"/>
  <c r="F39" i="8" s="1"/>
  <c r="AL23" i="8"/>
  <c r="AI23" i="8"/>
  <c r="AD23" i="8"/>
  <c r="AB23" i="8" s="1"/>
  <c r="U23" i="8"/>
  <c r="H23" i="8" s="1"/>
  <c r="F23" i="8" s="1"/>
  <c r="AL35" i="8"/>
  <c r="AI35" i="8"/>
  <c r="AD35" i="8"/>
  <c r="AB35" i="8" s="1"/>
  <c r="U35" i="8"/>
  <c r="H35" i="8" s="1"/>
  <c r="F35" i="8" s="1"/>
  <c r="AL100" i="8"/>
  <c r="AI100" i="8"/>
  <c r="AD100" i="8"/>
  <c r="AB100" i="8" s="1"/>
  <c r="U100" i="8"/>
  <c r="H100" i="8" s="1"/>
  <c r="F100" i="8" s="1"/>
  <c r="AL87" i="8"/>
  <c r="AI87" i="8"/>
  <c r="AD87" i="8"/>
  <c r="AB87" i="8" s="1"/>
  <c r="U87" i="8"/>
  <c r="H87" i="8" s="1"/>
  <c r="F87" i="8" s="1"/>
  <c r="AL61" i="8"/>
  <c r="AI61" i="8"/>
  <c r="AD61" i="8"/>
  <c r="AB61" i="8" s="1"/>
  <c r="U61" i="8"/>
  <c r="H61" i="8" s="1"/>
  <c r="F61" i="8" s="1"/>
  <c r="AL75" i="8"/>
  <c r="AI75" i="8"/>
  <c r="AD75" i="8"/>
  <c r="AB75" i="8" s="1"/>
  <c r="U75" i="8"/>
  <c r="H75" i="8" s="1"/>
  <c r="F75" i="8" s="1"/>
  <c r="AL41" i="8"/>
  <c r="AI41" i="8"/>
  <c r="AD41" i="8"/>
  <c r="AB41" i="8" s="1"/>
  <c r="U41" i="8"/>
  <c r="H41" i="8" s="1"/>
  <c r="F41" i="8" s="1"/>
  <c r="AL27" i="8"/>
  <c r="AI27" i="8"/>
  <c r="AD27" i="8"/>
  <c r="AB27" i="8" s="1"/>
  <c r="U27" i="8"/>
  <c r="H27" i="8" s="1"/>
  <c r="F27" i="8" s="1"/>
  <c r="AL45" i="8"/>
  <c r="AI45" i="8"/>
  <c r="AD45" i="8"/>
  <c r="AB45" i="8" s="1"/>
  <c r="U45" i="8"/>
  <c r="H45" i="8" s="1"/>
  <c r="F45" i="8" s="1"/>
  <c r="AL74" i="8"/>
  <c r="AI74" i="8"/>
  <c r="AD74" i="8"/>
  <c r="AB74" i="8" s="1"/>
  <c r="U74" i="8"/>
  <c r="H74" i="8" s="1"/>
  <c r="F74" i="8" s="1"/>
  <c r="AL69" i="8"/>
  <c r="AI69" i="8"/>
  <c r="AD69" i="8"/>
  <c r="AB69" i="8" s="1"/>
  <c r="U69" i="8"/>
  <c r="H69" i="8" s="1"/>
  <c r="F69" i="8" s="1"/>
  <c r="AL22" i="8"/>
  <c r="AI22" i="8"/>
  <c r="AD22" i="8"/>
  <c r="AB22" i="8" s="1"/>
  <c r="U22" i="8"/>
  <c r="H22" i="8" s="1"/>
  <c r="F22" i="8" s="1"/>
  <c r="AL58" i="8"/>
  <c r="I53" i="9" s="1"/>
  <c r="AI58" i="8"/>
  <c r="I52" i="9" s="1"/>
  <c r="AD58" i="8"/>
  <c r="U58" i="8"/>
  <c r="H58" i="8" s="1"/>
  <c r="F58" i="8" s="1"/>
  <c r="K46" i="9" s="1"/>
  <c r="AL109" i="8"/>
  <c r="AI109" i="8"/>
  <c r="AD109" i="8"/>
  <c r="AB109" i="8" s="1"/>
  <c r="U109" i="8"/>
  <c r="H109" i="8" s="1"/>
  <c r="F109" i="8" s="1"/>
  <c r="AL104" i="8"/>
  <c r="AI104" i="8"/>
  <c r="AD104" i="8"/>
  <c r="AB104" i="8" s="1"/>
  <c r="U104" i="8"/>
  <c r="H104" i="8" s="1"/>
  <c r="F104" i="8" s="1"/>
  <c r="AL62" i="8"/>
  <c r="AI62" i="8"/>
  <c r="AD62" i="8"/>
  <c r="AB62" i="8" s="1"/>
  <c r="U62" i="8"/>
  <c r="H62" i="8" s="1"/>
  <c r="F62" i="8" s="1"/>
  <c r="AL9" i="8"/>
  <c r="AI9" i="8"/>
  <c r="AD9" i="8"/>
  <c r="AB9" i="8" s="1"/>
  <c r="U9" i="8"/>
  <c r="H9" i="8" s="1"/>
  <c r="F9" i="8" s="1"/>
  <c r="AL5" i="8"/>
  <c r="AI5" i="8"/>
  <c r="AD5" i="8"/>
  <c r="AB5" i="8" s="1"/>
  <c r="U5" i="8"/>
  <c r="H5" i="8" s="1"/>
  <c r="F5" i="8" s="1"/>
  <c r="AL88" i="8"/>
  <c r="AI88" i="8"/>
  <c r="AD88" i="8"/>
  <c r="AB88" i="8" s="1"/>
  <c r="U88" i="8"/>
  <c r="H88" i="8" s="1"/>
  <c r="F88" i="8" s="1"/>
  <c r="AL2" i="8"/>
  <c r="AI2" i="8"/>
  <c r="AD2" i="8"/>
  <c r="AB2" i="8" s="1"/>
  <c r="U2" i="8"/>
  <c r="H2" i="8" s="1"/>
  <c r="F2" i="8" s="1"/>
  <c r="AL67" i="8"/>
  <c r="AI67" i="8"/>
  <c r="AD67" i="8"/>
  <c r="AB67" i="8" s="1"/>
  <c r="U67" i="8"/>
  <c r="H67" i="8" s="1"/>
  <c r="F67" i="8" s="1"/>
  <c r="AL82" i="8"/>
  <c r="AI82" i="8"/>
  <c r="AD82" i="8"/>
  <c r="AB82" i="8" s="1"/>
  <c r="U82" i="8"/>
  <c r="H82" i="8" s="1"/>
  <c r="F82" i="8" s="1"/>
  <c r="AL38" i="8"/>
  <c r="AI38" i="8"/>
  <c r="AD38" i="8"/>
  <c r="AB38" i="8" s="1"/>
  <c r="U38" i="8"/>
  <c r="H38" i="8" s="1"/>
  <c r="F38" i="8" s="1"/>
  <c r="AL81" i="8"/>
  <c r="AI81" i="8"/>
  <c r="AD81" i="8"/>
  <c r="AB81" i="8" s="1"/>
  <c r="U81" i="8"/>
  <c r="H81" i="8" s="1"/>
  <c r="F81" i="8" s="1"/>
  <c r="AL56" i="8"/>
  <c r="AI56" i="8"/>
  <c r="AD56" i="8"/>
  <c r="AB56" i="8" s="1"/>
  <c r="U56" i="8"/>
  <c r="H56" i="8" s="1"/>
  <c r="F56" i="8" s="1"/>
  <c r="AL20" i="8"/>
  <c r="AI20" i="8"/>
  <c r="AD20" i="8"/>
  <c r="AB20" i="8" s="1"/>
  <c r="U20" i="8"/>
  <c r="H20" i="8" s="1"/>
  <c r="F20" i="8" s="1"/>
  <c r="AL68" i="8"/>
  <c r="AI68" i="8"/>
  <c r="AD68" i="8"/>
  <c r="AB68" i="8" s="1"/>
  <c r="U68" i="8"/>
  <c r="H68" i="8" s="1"/>
  <c r="F68" i="8" s="1"/>
  <c r="AL19" i="8"/>
  <c r="AI19" i="8"/>
  <c r="AD19" i="8"/>
  <c r="AB19" i="8" s="1"/>
  <c r="U19" i="8"/>
  <c r="H19" i="8" s="1"/>
  <c r="F19" i="8" s="1"/>
  <c r="AL80" i="8"/>
  <c r="AI80" i="8"/>
  <c r="AD80" i="8"/>
  <c r="AB80" i="8" s="1"/>
  <c r="U80" i="8"/>
  <c r="H80" i="8" s="1"/>
  <c r="F80" i="8" s="1"/>
  <c r="AL84" i="8"/>
  <c r="AI84" i="8"/>
  <c r="AD84" i="8"/>
  <c r="AB84" i="8" s="1"/>
  <c r="U84" i="8"/>
  <c r="H84" i="8" s="1"/>
  <c r="F84" i="8" s="1"/>
  <c r="AL64" i="8"/>
  <c r="AI64" i="8"/>
  <c r="AD64" i="8"/>
  <c r="AB64" i="8" s="1"/>
  <c r="U64" i="8"/>
  <c r="H64" i="8" s="1"/>
  <c r="F64" i="8" s="1"/>
  <c r="AL37" i="8"/>
  <c r="AI37" i="8"/>
  <c r="AD37" i="8"/>
  <c r="AB37" i="8" s="1"/>
  <c r="U37" i="8"/>
  <c r="H37" i="8" s="1"/>
  <c r="F37" i="8" s="1"/>
  <c r="AL99" i="8"/>
  <c r="AI99" i="8"/>
  <c r="AD99" i="8"/>
  <c r="AB99" i="8" s="1"/>
  <c r="U99" i="8"/>
  <c r="H99" i="8" s="1"/>
  <c r="F99" i="8" s="1"/>
  <c r="AL78" i="8"/>
  <c r="AI78" i="8"/>
  <c r="AD78" i="8"/>
  <c r="AB78" i="8" s="1"/>
  <c r="U78" i="8"/>
  <c r="H78" i="8" s="1"/>
  <c r="F78" i="8" s="1"/>
  <c r="AL55" i="8"/>
  <c r="AI55" i="8"/>
  <c r="AD55" i="8"/>
  <c r="AB55" i="8" s="1"/>
  <c r="U55" i="8"/>
  <c r="H55" i="8" s="1"/>
  <c r="F55" i="8" s="1"/>
  <c r="AL26" i="8"/>
  <c r="AI26" i="8"/>
  <c r="AD26" i="8"/>
  <c r="AB26" i="8" s="1"/>
  <c r="U26" i="8"/>
  <c r="H26" i="8" s="1"/>
  <c r="F26" i="8" s="1"/>
  <c r="AL40" i="8"/>
  <c r="AI40" i="8"/>
  <c r="AD40" i="8"/>
  <c r="AB40" i="8" s="1"/>
  <c r="U40" i="8"/>
  <c r="H40" i="8" s="1"/>
  <c r="F40" i="8" s="1"/>
  <c r="AL107" i="8"/>
  <c r="AI107" i="8"/>
  <c r="AD107" i="8"/>
  <c r="U107" i="8"/>
  <c r="H107" i="8" s="1"/>
  <c r="O45" i="9" s="1"/>
  <c r="AL32" i="8"/>
  <c r="AI32" i="8"/>
  <c r="AD32" i="8"/>
  <c r="AB32" i="8" s="1"/>
  <c r="U32" i="8"/>
  <c r="H32" i="8" s="1"/>
  <c r="F32" i="8" s="1"/>
  <c r="AL29" i="8"/>
  <c r="AI29" i="8"/>
  <c r="AD29" i="8"/>
  <c r="AB29" i="8" s="1"/>
  <c r="U29" i="8"/>
  <c r="H29" i="8" s="1"/>
  <c r="F29" i="8" s="1"/>
  <c r="AL7" i="8"/>
  <c r="AI7" i="8"/>
  <c r="AD7" i="8"/>
  <c r="AB7" i="8" s="1"/>
  <c r="U7" i="8"/>
  <c r="H7" i="8" s="1"/>
  <c r="F7" i="8" s="1"/>
  <c r="AL96" i="8"/>
  <c r="AI96" i="8"/>
  <c r="AD96" i="8"/>
  <c r="AB96" i="8" s="1"/>
  <c r="U96" i="8"/>
  <c r="H96" i="8" s="1"/>
  <c r="F96" i="8" s="1"/>
  <c r="AL36" i="8"/>
  <c r="AI36" i="8"/>
  <c r="AD36" i="8"/>
  <c r="AB36" i="8" s="1"/>
  <c r="U36" i="8"/>
  <c r="H36" i="8" s="1"/>
  <c r="F36" i="8" s="1"/>
  <c r="AL21" i="8"/>
  <c r="AI21" i="8"/>
  <c r="AD21" i="8"/>
  <c r="AB21" i="8" s="1"/>
  <c r="U21" i="8"/>
  <c r="H21" i="8" s="1"/>
  <c r="F21" i="8" s="1"/>
  <c r="AL43" i="8"/>
  <c r="AI43" i="8"/>
  <c r="AD43" i="8"/>
  <c r="AB43" i="8" s="1"/>
  <c r="U43" i="8"/>
  <c r="H43" i="8" s="1"/>
  <c r="F43" i="8" s="1"/>
  <c r="AL70" i="8"/>
  <c r="I22" i="9" s="1"/>
  <c r="AI70" i="8"/>
  <c r="AD70" i="8"/>
  <c r="AB70" i="8" s="1"/>
  <c r="K19" i="9" s="1"/>
  <c r="U70" i="8"/>
  <c r="H70" i="8" s="1"/>
  <c r="F70" i="8" s="1"/>
  <c r="AL54" i="8"/>
  <c r="AI54" i="8"/>
  <c r="AD54" i="8"/>
  <c r="AB54" i="8" s="1"/>
  <c r="U54" i="8"/>
  <c r="H54" i="8" s="1"/>
  <c r="F54" i="8" s="1"/>
  <c r="AL15" i="8"/>
  <c r="AI15" i="8"/>
  <c r="AD15" i="8"/>
  <c r="AB15" i="8" s="1"/>
  <c r="U15" i="8"/>
  <c r="H15" i="8" s="1"/>
  <c r="F15" i="8" s="1"/>
  <c r="AL4" i="8"/>
  <c r="AI4" i="8"/>
  <c r="AD4" i="8"/>
  <c r="AB4" i="8" s="1"/>
  <c r="U4" i="8"/>
  <c r="H4" i="8" s="1"/>
  <c r="F4" i="8" s="1"/>
  <c r="AL76" i="8"/>
  <c r="AI76" i="8"/>
  <c r="AD76" i="8"/>
  <c r="AB76" i="8" s="1"/>
  <c r="U76" i="8"/>
  <c r="H76" i="8" s="1"/>
  <c r="F76" i="8" s="1"/>
  <c r="AL65" i="8"/>
  <c r="AI65" i="8"/>
  <c r="AD65" i="8"/>
  <c r="AB65" i="8" s="1"/>
  <c r="U65" i="8"/>
  <c r="H65" i="8" s="1"/>
  <c r="F65" i="8" s="1"/>
  <c r="AL49" i="8"/>
  <c r="AI49" i="8"/>
  <c r="AD49" i="8"/>
  <c r="AB49" i="8" s="1"/>
  <c r="U49" i="8"/>
  <c r="H49" i="8" s="1"/>
  <c r="F49" i="8" s="1"/>
  <c r="AL73" i="8"/>
  <c r="AI73" i="8"/>
  <c r="AD73" i="8"/>
  <c r="AB73" i="8" s="1"/>
  <c r="U73" i="8"/>
  <c r="H73" i="8" s="1"/>
  <c r="F73" i="8" s="1"/>
  <c r="AL14" i="8"/>
  <c r="AI14" i="8"/>
  <c r="U52" i="9" s="1"/>
  <c r="AD14" i="8"/>
  <c r="U14" i="8"/>
  <c r="H14" i="8" s="1"/>
  <c r="F14" i="8" s="1"/>
  <c r="AL83" i="8"/>
  <c r="AI83" i="8"/>
  <c r="AD83" i="8"/>
  <c r="AB83" i="8" s="1"/>
  <c r="U83" i="8"/>
  <c r="H83" i="8" s="1"/>
  <c r="F83" i="8" s="1"/>
  <c r="AL66" i="8"/>
  <c r="AI66" i="8"/>
  <c r="AD66" i="8"/>
  <c r="AB66" i="8" s="1"/>
  <c r="U66" i="8"/>
  <c r="H66" i="8" s="1"/>
  <c r="F66" i="8" s="1"/>
  <c r="AL101" i="8"/>
  <c r="AI101" i="8"/>
  <c r="AD101" i="8"/>
  <c r="AB101" i="8" s="1"/>
  <c r="U101" i="8"/>
  <c r="H101" i="8" s="1"/>
  <c r="AL24" i="8"/>
  <c r="AI24" i="8"/>
  <c r="C52" i="9" s="1"/>
  <c r="AD24" i="8"/>
  <c r="AB24" i="8" s="1"/>
  <c r="E50" i="9" s="1"/>
  <c r="U24" i="8"/>
  <c r="H24" i="8" s="1"/>
  <c r="E45" i="9" s="1"/>
  <c r="G12" i="10" s="1"/>
  <c r="AL48" i="8"/>
  <c r="AI48" i="8"/>
  <c r="AD48" i="8"/>
  <c r="AB48" i="8" s="1"/>
  <c r="U48" i="8"/>
  <c r="H48" i="8" s="1"/>
  <c r="F48" i="8" s="1"/>
  <c r="AL52" i="8"/>
  <c r="AI52" i="8"/>
  <c r="AD52" i="8"/>
  <c r="AB52" i="8" s="1"/>
  <c r="U52" i="8"/>
  <c r="H52" i="8" s="1"/>
  <c r="F52" i="8" s="1"/>
  <c r="AL17" i="8"/>
  <c r="AI17" i="8"/>
  <c r="AD17" i="8"/>
  <c r="AB17" i="8" s="1"/>
  <c r="U17" i="8"/>
  <c r="H17" i="8" s="1"/>
  <c r="F17" i="8" s="1"/>
  <c r="AL108" i="8"/>
  <c r="AI108" i="8"/>
  <c r="AD108" i="8"/>
  <c r="AB108" i="8" s="1"/>
  <c r="U108" i="8"/>
  <c r="H108" i="8" s="1"/>
  <c r="F108" i="8" s="1"/>
  <c r="AL50" i="8"/>
  <c r="AI50" i="8"/>
  <c r="AD50" i="8"/>
  <c r="AB50" i="8" s="1"/>
  <c r="U50" i="8"/>
  <c r="H50" i="8" s="1"/>
  <c r="F50" i="8" s="1"/>
  <c r="AL105" i="8"/>
  <c r="AI105" i="8"/>
  <c r="AD105" i="8"/>
  <c r="AB105" i="8" s="1"/>
  <c r="U105" i="8"/>
  <c r="H105" i="8" s="1"/>
  <c r="F105" i="8" s="1"/>
  <c r="AL85" i="8"/>
  <c r="AI85" i="8"/>
  <c r="AD85" i="8"/>
  <c r="AB85" i="8" s="1"/>
  <c r="U85" i="8"/>
  <c r="H85" i="8" s="1"/>
  <c r="F85" i="8" s="1"/>
  <c r="AL10" i="8"/>
  <c r="AI10" i="8"/>
  <c r="AD10" i="8"/>
  <c r="AB10" i="8" s="1"/>
  <c r="U10" i="8"/>
  <c r="H10" i="8" s="1"/>
  <c r="F10" i="8" s="1"/>
  <c r="AL57" i="8"/>
  <c r="AI57" i="8"/>
  <c r="W37" i="9" s="1"/>
  <c r="N36" i="10" s="1"/>
  <c r="AD57" i="8"/>
  <c r="U57" i="8"/>
  <c r="H57" i="8" s="1"/>
  <c r="U30" i="9" s="1"/>
  <c r="AL28" i="8"/>
  <c r="AI28" i="8"/>
  <c r="C21" i="9" s="1"/>
  <c r="AD28" i="8"/>
  <c r="AB28" i="8" s="1"/>
  <c r="E19" i="9" s="1"/>
  <c r="U28" i="8"/>
  <c r="H28" i="8" s="1"/>
  <c r="AL18" i="8"/>
  <c r="AI18" i="8"/>
  <c r="AD18" i="8"/>
  <c r="U18" i="8"/>
  <c r="H18" i="8" s="1"/>
  <c r="AL90" i="8"/>
  <c r="AI90" i="8"/>
  <c r="AD90" i="8"/>
  <c r="AB90" i="8" s="1"/>
  <c r="U90" i="8"/>
  <c r="H90" i="8" s="1"/>
  <c r="F90" i="8" s="1"/>
  <c r="AL30" i="8"/>
  <c r="W22" i="9" s="1"/>
  <c r="O33" i="10" s="1"/>
  <c r="AI30" i="8"/>
  <c r="W21" i="9" s="1"/>
  <c r="N33" i="10" s="1"/>
  <c r="AD30" i="8"/>
  <c r="U30" i="8"/>
  <c r="H30" i="8" s="1"/>
  <c r="F30" i="8" s="1"/>
  <c r="AL11" i="8"/>
  <c r="AI11" i="8"/>
  <c r="Q37" i="9" s="1"/>
  <c r="N27" i="10" s="1"/>
  <c r="AD11" i="8"/>
  <c r="O34" i="9" s="1"/>
  <c r="U11" i="8"/>
  <c r="H11" i="8" s="1"/>
  <c r="F11" i="8" s="1"/>
  <c r="AL94" i="8"/>
  <c r="AI94" i="8"/>
  <c r="AD94" i="8"/>
  <c r="AB94" i="8" s="1"/>
  <c r="U94" i="8"/>
  <c r="H94" i="8" s="1"/>
  <c r="F94" i="8" s="1"/>
  <c r="AL13" i="8"/>
  <c r="AI13" i="8"/>
  <c r="K37" i="9" s="1"/>
  <c r="N18" i="10" s="1"/>
  <c r="AD13" i="8"/>
  <c r="U13" i="8"/>
  <c r="H13" i="8" s="1"/>
  <c r="F13" i="8" s="1"/>
  <c r="Q107" i="16" l="1"/>
  <c r="Q110" i="16"/>
  <c r="Q100" i="16"/>
  <c r="Q106" i="16"/>
  <c r="P86" i="16"/>
  <c r="Q75" i="16"/>
  <c r="AH86" i="16"/>
  <c r="AH104" i="16"/>
  <c r="AI84" i="16"/>
  <c r="AI83" i="16"/>
  <c r="AI82" i="16"/>
  <c r="AI90" i="16"/>
  <c r="AI93" i="16"/>
  <c r="AI91" i="16"/>
  <c r="AI109" i="16"/>
  <c r="Q65" i="16"/>
  <c r="AI111" i="16"/>
  <c r="Q70" i="16"/>
  <c r="AI88" i="16"/>
  <c r="Z70" i="16"/>
  <c r="Z67" i="16"/>
  <c r="Z75" i="16"/>
  <c r="Q74" i="16"/>
  <c r="AI101" i="16"/>
  <c r="AI100" i="16"/>
  <c r="Z71" i="16"/>
  <c r="AI108" i="16"/>
  <c r="Q66" i="16"/>
  <c r="AI110" i="16"/>
  <c r="AI102" i="16"/>
  <c r="AI107" i="16"/>
  <c r="AI106" i="16"/>
  <c r="AI85" i="16"/>
  <c r="AI92" i="16"/>
  <c r="Z73" i="16"/>
  <c r="Z74" i="16"/>
  <c r="Q67" i="16"/>
  <c r="Z66" i="16"/>
  <c r="Y68" i="16"/>
  <c r="Q72" i="16"/>
  <c r="Q73" i="16"/>
  <c r="Q64" i="16"/>
  <c r="Z65" i="16"/>
  <c r="Z64" i="16"/>
  <c r="Q71" i="16"/>
  <c r="P68" i="16"/>
  <c r="Z104" i="16"/>
  <c r="BZ14" i="17"/>
  <c r="AI68" i="16"/>
  <c r="BE14" i="17"/>
  <c r="BT14" i="17"/>
  <c r="BW14" i="17"/>
  <c r="AI76" i="16"/>
  <c r="BH14" i="17"/>
  <c r="Z94" i="16"/>
  <c r="Q86" i="16"/>
  <c r="Z112" i="16"/>
  <c r="Q94" i="16"/>
  <c r="H76" i="16"/>
  <c r="Z86" i="16"/>
  <c r="H68" i="16"/>
  <c r="I43" i="23"/>
  <c r="J28" i="20"/>
  <c r="B13" i="28" s="1"/>
  <c r="D37" i="20"/>
  <c r="J35" i="20"/>
  <c r="J36" i="20"/>
  <c r="B37" i="20"/>
  <c r="J33" i="20"/>
  <c r="E28" i="20"/>
  <c r="F28" i="20"/>
  <c r="G28" i="20"/>
  <c r="J34" i="20"/>
  <c r="H28" i="20"/>
  <c r="U31" i="9"/>
  <c r="V29" i="9" s="1"/>
  <c r="D36" i="10" s="1"/>
  <c r="K15" i="9"/>
  <c r="AH46" i="8"/>
  <c r="AH97" i="8"/>
  <c r="AH106" i="8"/>
  <c r="AH42" i="8"/>
  <c r="AH72" i="8"/>
  <c r="O38" i="9"/>
  <c r="AH29" i="8"/>
  <c r="AH26" i="8"/>
  <c r="AH37" i="8"/>
  <c r="K21" i="9"/>
  <c r="N15" i="10" s="1"/>
  <c r="K22" i="9"/>
  <c r="O15" i="10" s="1"/>
  <c r="I21" i="9"/>
  <c r="K18" i="9"/>
  <c r="K15" i="10" s="1"/>
  <c r="J21" i="10"/>
  <c r="F21" i="10"/>
  <c r="I18" i="9"/>
  <c r="K14" i="9"/>
  <c r="G15" i="10" s="1"/>
  <c r="I14" i="9"/>
  <c r="I38" i="9"/>
  <c r="E38" i="9"/>
  <c r="O9" i="10" s="1"/>
  <c r="U53" i="9"/>
  <c r="U54" i="9" s="1"/>
  <c r="V52" i="9" s="1"/>
  <c r="L39" i="10" s="1"/>
  <c r="C30" i="9"/>
  <c r="C31" i="9" s="1"/>
  <c r="D29" i="9" s="1"/>
  <c r="D9" i="10" s="1"/>
  <c r="C14" i="9"/>
  <c r="C15" i="9" s="1"/>
  <c r="D13" i="9" s="1"/>
  <c r="D6" i="10" s="1"/>
  <c r="O8" i="9"/>
  <c r="F57" i="8"/>
  <c r="W31" i="9" s="1"/>
  <c r="W53" i="9"/>
  <c r="O39" i="10" s="1"/>
  <c r="U22" i="9"/>
  <c r="I54" i="9"/>
  <c r="J52" i="9" s="1"/>
  <c r="L21" i="10" s="1"/>
  <c r="U21" i="9"/>
  <c r="F28" i="8"/>
  <c r="E15" i="9" s="1"/>
  <c r="F34" i="8"/>
  <c r="Q15" i="9" s="1"/>
  <c r="K30" i="9"/>
  <c r="G18" i="10" s="1"/>
  <c r="Q45" i="9"/>
  <c r="G30" i="10" s="1"/>
  <c r="Q30" i="9"/>
  <c r="G27" i="10" s="1"/>
  <c r="Q14" i="9"/>
  <c r="G24" i="10" s="1"/>
  <c r="C38" i="9"/>
  <c r="O15" i="9"/>
  <c r="P13" i="9" s="1"/>
  <c r="D24" i="10" s="1"/>
  <c r="W30" i="9"/>
  <c r="G36" i="10" s="1"/>
  <c r="K38" i="9"/>
  <c r="O18" i="10" s="1"/>
  <c r="K53" i="9"/>
  <c r="O21" i="10" s="1"/>
  <c r="F18" i="8"/>
  <c r="E31" i="9" s="1"/>
  <c r="F12" i="8"/>
  <c r="K31" i="9" s="1"/>
  <c r="F107" i="8"/>
  <c r="Q46" i="9" s="1"/>
  <c r="W15" i="9"/>
  <c r="F24" i="8"/>
  <c r="E46" i="9" s="1"/>
  <c r="O35" i="9"/>
  <c r="P34" i="9" s="1"/>
  <c r="I27" i="10" s="1"/>
  <c r="F101" i="8"/>
  <c r="Q31" i="9" s="1"/>
  <c r="U8" i="9"/>
  <c r="O23" i="9"/>
  <c r="P22" i="9" s="1"/>
  <c r="M24" i="10" s="1"/>
  <c r="I8" i="9"/>
  <c r="C45" i="9"/>
  <c r="C46" i="9" s="1"/>
  <c r="D44" i="9" s="1"/>
  <c r="D12" i="10" s="1"/>
  <c r="AB30" i="8"/>
  <c r="W19" i="9" s="1"/>
  <c r="U18" i="9"/>
  <c r="U19" i="9" s="1"/>
  <c r="V17" i="9" s="1"/>
  <c r="H33" i="10" s="1"/>
  <c r="W18" i="9"/>
  <c r="K33" i="10" s="1"/>
  <c r="AB18" i="8"/>
  <c r="E35" i="9" s="1"/>
  <c r="E34" i="9"/>
  <c r="K9" i="10" s="1"/>
  <c r="AB57" i="8"/>
  <c r="W35" i="9" s="1"/>
  <c r="U34" i="9"/>
  <c r="U35" i="9" s="1"/>
  <c r="V33" i="9" s="1"/>
  <c r="H36" i="10" s="1"/>
  <c r="AB14" i="8"/>
  <c r="W50" i="9" s="1"/>
  <c r="U49" i="9"/>
  <c r="U50" i="9" s="1"/>
  <c r="V49" i="9" s="1"/>
  <c r="I39" i="10" s="1"/>
  <c r="AB107" i="8"/>
  <c r="Q50" i="9" s="1"/>
  <c r="O49" i="9"/>
  <c r="AB58" i="8"/>
  <c r="K50" i="9" s="1"/>
  <c r="I49" i="9"/>
  <c r="I50" i="9" s="1"/>
  <c r="AB34" i="8"/>
  <c r="Q19" i="9" s="1"/>
  <c r="O18" i="9"/>
  <c r="O19" i="9" s="1"/>
  <c r="E18" i="9"/>
  <c r="K6" i="10" s="1"/>
  <c r="E22" i="9"/>
  <c r="O6" i="10" s="1"/>
  <c r="C22" i="9"/>
  <c r="C23" i="9" s="1"/>
  <c r="D21" i="9" s="1"/>
  <c r="L6" i="10" s="1"/>
  <c r="AH57" i="8"/>
  <c r="U38" i="9"/>
  <c r="AH10" i="8"/>
  <c r="AH105" i="8"/>
  <c r="C53" i="9"/>
  <c r="C54" i="9" s="1"/>
  <c r="D53" i="9" s="1"/>
  <c r="M12" i="10" s="1"/>
  <c r="E53" i="9"/>
  <c r="O12" i="10" s="1"/>
  <c r="Q53" i="9"/>
  <c r="O30" i="10" s="1"/>
  <c r="O53" i="9"/>
  <c r="W34" i="9"/>
  <c r="K36" i="10" s="1"/>
  <c r="Q22" i="9"/>
  <c r="O24" i="10" s="1"/>
  <c r="U37" i="9"/>
  <c r="Q49" i="9"/>
  <c r="K30" i="10" s="1"/>
  <c r="I37" i="9"/>
  <c r="W52" i="9"/>
  <c r="N39" i="10" s="1"/>
  <c r="C49" i="9"/>
  <c r="C50" i="9" s="1"/>
  <c r="D48" i="9" s="1"/>
  <c r="H12" i="10" s="1"/>
  <c r="W38" i="9"/>
  <c r="O36" i="10" s="1"/>
  <c r="E49" i="9"/>
  <c r="K12" i="10" s="1"/>
  <c r="AB13" i="8"/>
  <c r="K35" i="9" s="1"/>
  <c r="K34" i="9"/>
  <c r="K18" i="10" s="1"/>
  <c r="AB11" i="8"/>
  <c r="Q35" i="9" s="1"/>
  <c r="Q34" i="9"/>
  <c r="K27" i="10" s="1"/>
  <c r="C18" i="9"/>
  <c r="C34" i="9"/>
  <c r="W49" i="9"/>
  <c r="K39" i="10" s="1"/>
  <c r="E37" i="9"/>
  <c r="N9" i="10" s="1"/>
  <c r="C37" i="9"/>
  <c r="O52" i="9"/>
  <c r="Q52" i="9"/>
  <c r="N30" i="10" s="1"/>
  <c r="O37" i="9"/>
  <c r="C8" i="9"/>
  <c r="I34" i="9"/>
  <c r="W46" i="9"/>
  <c r="O46" i="9"/>
  <c r="P45" i="9" s="1"/>
  <c r="E30" i="10" s="1"/>
  <c r="K49" i="9"/>
  <c r="K21" i="10" s="1"/>
  <c r="K45" i="9"/>
  <c r="G21" i="10" s="1"/>
  <c r="Q38" i="9"/>
  <c r="O27" i="10" s="1"/>
  <c r="Q18" i="9"/>
  <c r="K24" i="10" s="1"/>
  <c r="E52" i="9"/>
  <c r="N12" i="10" s="1"/>
  <c r="E21" i="9"/>
  <c r="N6" i="10" s="1"/>
  <c r="AH84" i="8"/>
  <c r="AH80" i="8"/>
  <c r="AH82" i="8"/>
  <c r="AH5" i="8"/>
  <c r="AH109" i="8"/>
  <c r="AH74" i="8"/>
  <c r="AH27" i="8"/>
  <c r="AH41" i="8"/>
  <c r="AH61" i="8"/>
  <c r="AH100" i="8"/>
  <c r="AH60" i="8"/>
  <c r="AH47" i="8"/>
  <c r="AH51" i="8"/>
  <c r="AH89" i="8"/>
  <c r="AH93" i="8"/>
  <c r="K52" i="9"/>
  <c r="N21" i="10" s="1"/>
  <c r="Q21" i="9"/>
  <c r="N24" i="10" s="1"/>
  <c r="W14" i="9"/>
  <c r="G33" i="10" s="1"/>
  <c r="E14" i="9"/>
  <c r="G6" i="10" s="1"/>
  <c r="I30" i="9"/>
  <c r="I31" i="9" s="1"/>
  <c r="AH98" i="8"/>
  <c r="AH31" i="8"/>
  <c r="AH71" i="8"/>
  <c r="AH95" i="8"/>
  <c r="I45" i="9"/>
  <c r="E30" i="9"/>
  <c r="G9" i="10" s="1"/>
  <c r="U14" i="9"/>
  <c r="U15" i="9" s="1"/>
  <c r="V13" i="9" s="1"/>
  <c r="D33" i="10" s="1"/>
  <c r="U45" i="9"/>
  <c r="U46" i="9" s="1"/>
  <c r="V45" i="9" s="1"/>
  <c r="E39" i="10" s="1"/>
  <c r="W45" i="9"/>
  <c r="G39" i="10" s="1"/>
  <c r="O30" i="9"/>
  <c r="J53" i="9"/>
  <c r="V30" i="9"/>
  <c r="AH94" i="8"/>
  <c r="AH48" i="8"/>
  <c r="AH14" i="8"/>
  <c r="AH54" i="8"/>
  <c r="AH43" i="8"/>
  <c r="AH21" i="8"/>
  <c r="AH96" i="8"/>
  <c r="AH7" i="8"/>
  <c r="AH30" i="8"/>
  <c r="AH18" i="8"/>
  <c r="AH50" i="8"/>
  <c r="AH17" i="8"/>
  <c r="AH66" i="8"/>
  <c r="AH23" i="8"/>
  <c r="AH49" i="8"/>
  <c r="AH76" i="8"/>
  <c r="AH56" i="8"/>
  <c r="AH38" i="8"/>
  <c r="AH101" i="8"/>
  <c r="AH19" i="8"/>
  <c r="AH25" i="8"/>
  <c r="AH3" i="8"/>
  <c r="AH44" i="8"/>
  <c r="AH11" i="8"/>
  <c r="AH90" i="8"/>
  <c r="AH85" i="8"/>
  <c r="AH73" i="8"/>
  <c r="AH4" i="8"/>
  <c r="AH22" i="8"/>
  <c r="AH75" i="8"/>
  <c r="AH39" i="8"/>
  <c r="AH63" i="8"/>
  <c r="AH33" i="8"/>
  <c r="AH28" i="8"/>
  <c r="AH52" i="8"/>
  <c r="AH83" i="8"/>
  <c r="AH15" i="8"/>
  <c r="AH91" i="8"/>
  <c r="AH13" i="8"/>
  <c r="AH65" i="8"/>
  <c r="AH70" i="8"/>
  <c r="AH107" i="8"/>
  <c r="AH40" i="8"/>
  <c r="AH2" i="8"/>
  <c r="AH88" i="8"/>
  <c r="AH69" i="8"/>
  <c r="AH59" i="8"/>
  <c r="AH108" i="8"/>
  <c r="AH24" i="8"/>
  <c r="AH78" i="8"/>
  <c r="AH99" i="8"/>
  <c r="AH20" i="8"/>
  <c r="AH62" i="8"/>
  <c r="AH104" i="8"/>
  <c r="AH87" i="8"/>
  <c r="AH8" i="8"/>
  <c r="AH103" i="8"/>
  <c r="AH6" i="8"/>
  <c r="AH36" i="8"/>
  <c r="AH32" i="8"/>
  <c r="AH55" i="8"/>
  <c r="AH64" i="8"/>
  <c r="AH68" i="8"/>
  <c r="AH81" i="8"/>
  <c r="AH67" i="8"/>
  <c r="AH9" i="8"/>
  <c r="AH58" i="8"/>
  <c r="AH45" i="8"/>
  <c r="AH35" i="8"/>
  <c r="AH34" i="8"/>
  <c r="Q23" i="9" s="1"/>
  <c r="AH86" i="8"/>
  <c r="AH16" i="8"/>
  <c r="AH77" i="8"/>
  <c r="AH79" i="8"/>
  <c r="AH12" i="8"/>
  <c r="AH53" i="8"/>
  <c r="AH92" i="8"/>
  <c r="AH102" i="8"/>
  <c r="F28" i="5"/>
  <c r="F57" i="5"/>
  <c r="F45" i="5"/>
  <c r="F12" i="5"/>
  <c r="F24" i="5"/>
  <c r="F50" i="5"/>
  <c r="F84" i="5"/>
  <c r="F23" i="5"/>
  <c r="F52" i="5"/>
  <c r="F85" i="5"/>
  <c r="F83" i="5"/>
  <c r="F63" i="5"/>
  <c r="F2" i="5"/>
  <c r="F3" i="5"/>
  <c r="F4" i="5"/>
  <c r="F5" i="5"/>
  <c r="F43" i="5"/>
  <c r="F7" i="5"/>
  <c r="F22" i="5"/>
  <c r="F53" i="5"/>
  <c r="F54" i="5"/>
  <c r="F80" i="5"/>
  <c r="F79" i="5"/>
  <c r="F55" i="5"/>
  <c r="F56" i="5"/>
  <c r="F17" i="5"/>
  <c r="F39" i="5"/>
  <c r="F66" i="5"/>
  <c r="F93" i="5"/>
  <c r="F51" i="5"/>
  <c r="F40" i="5"/>
  <c r="F49" i="5"/>
  <c r="F6" i="5"/>
  <c r="F18" i="5"/>
  <c r="F92" i="5"/>
  <c r="F81" i="5"/>
  <c r="F68" i="5"/>
  <c r="F44" i="5"/>
  <c r="F82" i="5"/>
  <c r="F69" i="5"/>
  <c r="F26" i="5"/>
  <c r="F8" i="5"/>
  <c r="F61" i="5"/>
  <c r="F33" i="5"/>
  <c r="F70" i="5"/>
  <c r="F48" i="5"/>
  <c r="F86" i="5"/>
  <c r="F87" i="5"/>
  <c r="F32" i="5"/>
  <c r="F47" i="5"/>
  <c r="F9" i="5"/>
  <c r="F10" i="5"/>
  <c r="F88" i="5"/>
  <c r="F11" i="5"/>
  <c r="F58" i="5"/>
  <c r="F77" i="5"/>
  <c r="F59" i="5"/>
  <c r="F25" i="5"/>
  <c r="F13" i="5"/>
  <c r="F76" i="5"/>
  <c r="F71" i="5"/>
  <c r="F67" i="5"/>
  <c r="F72" i="5"/>
  <c r="F37" i="5"/>
  <c r="F41" i="5"/>
  <c r="F29" i="5"/>
  <c r="F64" i="5"/>
  <c r="F14" i="5"/>
  <c r="F15" i="5"/>
  <c r="F89" i="5"/>
  <c r="F19" i="5"/>
  <c r="F65" i="5"/>
  <c r="F34" i="5"/>
  <c r="F78" i="5"/>
  <c r="F31" i="5"/>
  <c r="F16" i="5"/>
  <c r="F20" i="5"/>
  <c r="F46" i="5"/>
  <c r="F21" i="5"/>
  <c r="F62" i="5"/>
  <c r="F38" i="5"/>
  <c r="F73" i="5"/>
  <c r="F30" i="5"/>
  <c r="F74" i="5"/>
  <c r="F75" i="5"/>
  <c r="F36" i="5"/>
  <c r="F60" i="5"/>
  <c r="F35" i="5"/>
  <c r="F90" i="5"/>
  <c r="F42" i="5"/>
  <c r="F27" i="5"/>
  <c r="F91" i="5"/>
  <c r="F103" i="5"/>
  <c r="F139" i="5"/>
  <c r="F109" i="5"/>
  <c r="F95" i="5"/>
  <c r="F131" i="5"/>
  <c r="F133" i="5"/>
  <c r="F120" i="5"/>
  <c r="F127" i="5"/>
  <c r="F101" i="5"/>
  <c r="F126" i="5"/>
  <c r="F129" i="5"/>
  <c r="F138" i="5"/>
  <c r="F99" i="5"/>
  <c r="F107" i="5"/>
  <c r="F116" i="5"/>
  <c r="F108" i="5"/>
  <c r="F117" i="5"/>
  <c r="F124" i="5"/>
  <c r="F102" i="5"/>
  <c r="F118" i="5"/>
  <c r="F142" i="5"/>
  <c r="F96" i="5"/>
  <c r="F136" i="5"/>
  <c r="F130" i="5"/>
  <c r="F137" i="5"/>
  <c r="F97" i="5"/>
  <c r="F132" i="5"/>
  <c r="F125" i="5"/>
  <c r="F98" i="5"/>
  <c r="F94" i="5"/>
  <c r="F104" i="5"/>
  <c r="F100" i="5"/>
  <c r="F115" i="5"/>
  <c r="F119" i="5"/>
  <c r="F114" i="5"/>
  <c r="F134" i="5"/>
  <c r="F128" i="5"/>
  <c r="F121" i="5"/>
  <c r="F111" i="5"/>
  <c r="F140" i="5"/>
  <c r="F141" i="5"/>
  <c r="F110" i="5"/>
  <c r="F123" i="5"/>
  <c r="F122" i="5"/>
  <c r="F112" i="5"/>
  <c r="F135" i="5"/>
  <c r="F113" i="5"/>
  <c r="F105" i="5"/>
  <c r="F146" i="5"/>
  <c r="F158" i="5"/>
  <c r="F145" i="5"/>
  <c r="F144" i="5"/>
  <c r="F155" i="5"/>
  <c r="F156" i="5"/>
  <c r="F143" i="5"/>
  <c r="F154" i="5"/>
  <c r="F147" i="5"/>
  <c r="F163" i="5"/>
  <c r="F149" i="5"/>
  <c r="F170" i="5"/>
  <c r="F157" i="5"/>
  <c r="F160" i="5"/>
  <c r="F151" i="5"/>
  <c r="F150" i="5"/>
  <c r="F172" i="5"/>
  <c r="F161" i="5"/>
  <c r="F162" i="5"/>
  <c r="F152" i="5"/>
  <c r="F165" i="5"/>
  <c r="F166" i="5"/>
  <c r="F148" i="5"/>
  <c r="F159" i="5"/>
  <c r="F167" i="5"/>
  <c r="F164" i="5"/>
  <c r="F168" i="5"/>
  <c r="F153" i="5"/>
  <c r="F169" i="5"/>
  <c r="F171" i="5"/>
  <c r="F204" i="5"/>
  <c r="F175" i="5"/>
  <c r="F220" i="5"/>
  <c r="F230" i="5"/>
  <c r="F183" i="5"/>
  <c r="F216" i="5"/>
  <c r="F217" i="5"/>
  <c r="F194" i="5"/>
  <c r="F180" i="5"/>
  <c r="F207" i="5"/>
  <c r="F213" i="5"/>
  <c r="F214" i="5"/>
  <c r="F233" i="5"/>
  <c r="F193" i="5"/>
  <c r="F234" i="5"/>
  <c r="F201" i="5"/>
  <c r="F215" i="5"/>
  <c r="F224" i="5"/>
  <c r="F202" i="5"/>
  <c r="F200" i="5"/>
  <c r="F235" i="5"/>
  <c r="F206" i="5"/>
  <c r="F209" i="5"/>
  <c r="F222" i="5"/>
  <c r="F225" i="5"/>
  <c r="F210" i="5"/>
  <c r="F203" i="5"/>
  <c r="F226" i="5"/>
  <c r="F173" i="5"/>
  <c r="F199" i="5"/>
  <c r="F189" i="5"/>
  <c r="F184" i="5"/>
  <c r="F185" i="5"/>
  <c r="F186" i="5"/>
  <c r="F190" i="5"/>
  <c r="F182" i="5"/>
  <c r="F187" i="5"/>
  <c r="F218" i="5"/>
  <c r="F231" i="5"/>
  <c r="F188" i="5"/>
  <c r="F232" i="5"/>
  <c r="F198" i="5"/>
  <c r="F211" i="5"/>
  <c r="F174" i="5"/>
  <c r="F219" i="5"/>
  <c r="F181" i="5"/>
  <c r="F205" i="5"/>
  <c r="F192" i="5"/>
  <c r="F195" i="5"/>
  <c r="F176" i="5"/>
  <c r="F228" i="5"/>
  <c r="F191" i="5"/>
  <c r="F177" i="5"/>
  <c r="F196" i="5"/>
  <c r="F212" i="5"/>
  <c r="F223" i="5"/>
  <c r="F227" i="5"/>
  <c r="F179" i="5"/>
  <c r="F229" i="5"/>
  <c r="F208" i="5"/>
  <c r="F197" i="5"/>
  <c r="F178" i="5"/>
  <c r="F221" i="5"/>
  <c r="O37" i="7" l="1"/>
  <c r="C22" i="7"/>
  <c r="O36" i="7"/>
  <c r="C21" i="7"/>
  <c r="E23" i="7"/>
  <c r="O32" i="7"/>
  <c r="C17" i="7"/>
  <c r="E19" i="7"/>
  <c r="O29" i="7"/>
  <c r="C14" i="7"/>
  <c r="E15" i="7"/>
  <c r="O28" i="7"/>
  <c r="C13" i="7"/>
  <c r="AE93" i="16"/>
  <c r="M75" i="16"/>
  <c r="AE92" i="16"/>
  <c r="M74" i="16"/>
  <c r="AE90" i="16"/>
  <c r="M72" i="16"/>
  <c r="AE91" i="16"/>
  <c r="M73" i="16"/>
  <c r="AE89" i="16"/>
  <c r="M71" i="16"/>
  <c r="AE88" i="16"/>
  <c r="M70" i="16"/>
  <c r="AE85" i="16"/>
  <c r="M67" i="16"/>
  <c r="V66" i="16"/>
  <c r="AE83" i="16"/>
  <c r="M65" i="16"/>
  <c r="AE82" i="16"/>
  <c r="M64" i="16"/>
  <c r="AE39" i="16"/>
  <c r="M20" i="16"/>
  <c r="V38" i="16"/>
  <c r="AE54" i="16"/>
  <c r="M36" i="16"/>
  <c r="V55" i="16"/>
  <c r="D37" i="16"/>
  <c r="M53" i="16"/>
  <c r="AE16" i="16"/>
  <c r="D52" i="16"/>
  <c r="V15" i="16"/>
  <c r="AE31" i="16"/>
  <c r="M12" i="16"/>
  <c r="V29" i="16"/>
  <c r="AE46" i="16"/>
  <c r="M28" i="16"/>
  <c r="F17" i="16"/>
  <c r="AG56" i="16"/>
  <c r="X54" i="16"/>
  <c r="O55" i="16"/>
  <c r="F53" i="16"/>
  <c r="AG34" i="16"/>
  <c r="X31" i="16"/>
  <c r="O29" i="16"/>
  <c r="F28" i="16"/>
  <c r="O28" i="16"/>
  <c r="AC10" i="17" s="1"/>
  <c r="W52" i="7"/>
  <c r="K37" i="7"/>
  <c r="W51" i="7"/>
  <c r="K36" i="7"/>
  <c r="W53" i="7"/>
  <c r="W47" i="7"/>
  <c r="K32" i="7"/>
  <c r="W49" i="7"/>
  <c r="W44" i="7"/>
  <c r="K29" i="7"/>
  <c r="W45" i="7"/>
  <c r="W43" i="7"/>
  <c r="K28" i="7"/>
  <c r="F17" i="10" s="1"/>
  <c r="M66" i="16"/>
  <c r="X39" i="16"/>
  <c r="O38" i="16"/>
  <c r="F36" i="16"/>
  <c r="AG18" i="16"/>
  <c r="X16" i="16"/>
  <c r="O15" i="16"/>
  <c r="AG47" i="16"/>
  <c r="X46" i="16"/>
  <c r="F16" i="16"/>
  <c r="X29" i="16"/>
  <c r="U52" i="7"/>
  <c r="I37" i="7"/>
  <c r="U51" i="7"/>
  <c r="I36" i="7"/>
  <c r="Q53" i="7"/>
  <c r="U47" i="7"/>
  <c r="I32" i="7"/>
  <c r="Q49" i="7"/>
  <c r="U44" i="7"/>
  <c r="I29" i="7"/>
  <c r="Q45" i="7"/>
  <c r="U43" i="7"/>
  <c r="I28" i="7"/>
  <c r="V93" i="16"/>
  <c r="D75" i="16"/>
  <c r="V92" i="16"/>
  <c r="D74" i="16"/>
  <c r="V90" i="16"/>
  <c r="D72" i="16"/>
  <c r="V91" i="16"/>
  <c r="D73" i="16"/>
  <c r="V89" i="16"/>
  <c r="D71" i="16"/>
  <c r="V88" i="16"/>
  <c r="D70" i="16"/>
  <c r="V85" i="16"/>
  <c r="D67" i="16"/>
  <c r="D66" i="16"/>
  <c r="V83" i="16"/>
  <c r="D65" i="16"/>
  <c r="V82" i="16"/>
  <c r="D64" i="16"/>
  <c r="V39" i="16"/>
  <c r="AE56" i="16"/>
  <c r="M38" i="16"/>
  <c r="V54" i="16"/>
  <c r="D36" i="16"/>
  <c r="M55" i="16"/>
  <c r="AE18" i="16"/>
  <c r="D53" i="16"/>
  <c r="V16" i="16"/>
  <c r="AE34" i="16"/>
  <c r="M15" i="16"/>
  <c r="V31" i="16"/>
  <c r="AE47" i="16"/>
  <c r="M29" i="16"/>
  <c r="V46" i="16"/>
  <c r="D28" i="16"/>
  <c r="F15" i="16"/>
  <c r="F29" i="16"/>
  <c r="AG9" i="16"/>
  <c r="O47" i="16"/>
  <c r="F9" i="16"/>
  <c r="AG16" i="16"/>
  <c r="Q52" i="7"/>
  <c r="E37" i="7"/>
  <c r="Q51" i="7"/>
  <c r="E36" i="7"/>
  <c r="K53" i="7"/>
  <c r="Q47" i="7"/>
  <c r="E32" i="7"/>
  <c r="K49" i="7"/>
  <c r="Q44" i="7"/>
  <c r="E29" i="7"/>
  <c r="K45" i="7"/>
  <c r="Q43" i="7"/>
  <c r="E28" i="7"/>
  <c r="AE102" i="16"/>
  <c r="AG57" i="16"/>
  <c r="O39" i="16"/>
  <c r="X56" i="16"/>
  <c r="F38" i="16"/>
  <c r="O54" i="16"/>
  <c r="AF18" i="17" s="1"/>
  <c r="AG17" i="16"/>
  <c r="F55" i="16"/>
  <c r="X18" i="16"/>
  <c r="AG35" i="16"/>
  <c r="O16" i="16"/>
  <c r="X34" i="16"/>
  <c r="AG49" i="16"/>
  <c r="O31" i="16"/>
  <c r="X47" i="16"/>
  <c r="O46" i="16"/>
  <c r="F12" i="16"/>
  <c r="AG10" i="16"/>
  <c r="AE66" i="16"/>
  <c r="AG54" i="16"/>
  <c r="O12" i="16"/>
  <c r="O52" i="7"/>
  <c r="C37" i="7"/>
  <c r="O51" i="7"/>
  <c r="C36" i="7"/>
  <c r="E53" i="7"/>
  <c r="O47" i="7"/>
  <c r="C32" i="7"/>
  <c r="E49" i="7"/>
  <c r="O44" i="7"/>
  <c r="C29" i="7"/>
  <c r="E45" i="7"/>
  <c r="O43" i="7"/>
  <c r="C28" i="7"/>
  <c r="AE111" i="16"/>
  <c r="M93" i="16"/>
  <c r="AE110" i="16"/>
  <c r="M92" i="16"/>
  <c r="AE108" i="16"/>
  <c r="M90" i="16"/>
  <c r="AE109" i="16"/>
  <c r="M91" i="16"/>
  <c r="AE107" i="16"/>
  <c r="M89" i="16"/>
  <c r="AE106" i="16"/>
  <c r="M88" i="16"/>
  <c r="AE103" i="16"/>
  <c r="M85" i="16"/>
  <c r="V102" i="16"/>
  <c r="AE101" i="16"/>
  <c r="M83" i="16"/>
  <c r="AE100" i="16"/>
  <c r="M82" i="16"/>
  <c r="AE57" i="16"/>
  <c r="M39" i="16"/>
  <c r="V56" i="16"/>
  <c r="D38" i="16"/>
  <c r="M54" i="16"/>
  <c r="AE17" i="16"/>
  <c r="D55" i="16"/>
  <c r="V18" i="16"/>
  <c r="AE35" i="16"/>
  <c r="M16" i="16"/>
  <c r="V34" i="16"/>
  <c r="AE49" i="16"/>
  <c r="M31" i="16"/>
  <c r="V47" i="16"/>
  <c r="D29" i="16"/>
  <c r="M46" i="16"/>
  <c r="AE9" i="16"/>
  <c r="F10" i="16"/>
  <c r="F39" i="16"/>
  <c r="AG19" i="16"/>
  <c r="X17" i="16"/>
  <c r="F46" i="16"/>
  <c r="AG39" i="16"/>
  <c r="AG31" i="16"/>
  <c r="K52" i="7"/>
  <c r="W22" i="7"/>
  <c r="K51" i="7"/>
  <c r="W21" i="7"/>
  <c r="W38" i="7"/>
  <c r="K47" i="7"/>
  <c r="W17" i="7"/>
  <c r="W34" i="7"/>
  <c r="K44" i="7"/>
  <c r="W14" i="7"/>
  <c r="W30" i="7"/>
  <c r="K43" i="7"/>
  <c r="F20" i="10" s="1"/>
  <c r="W13" i="7"/>
  <c r="F32" i="10" s="1"/>
  <c r="M102" i="16"/>
  <c r="X57" i="16"/>
  <c r="O56" i="16"/>
  <c r="F54" i="16"/>
  <c r="AG37" i="16"/>
  <c r="O18" i="16"/>
  <c r="X35" i="16"/>
  <c r="AG52" i="16"/>
  <c r="O34" i="16"/>
  <c r="X49" i="16"/>
  <c r="F31" i="16"/>
  <c r="X9" i="16"/>
  <c r="O53" i="16"/>
  <c r="AF17" i="17" s="1"/>
  <c r="I52" i="7"/>
  <c r="U22" i="7"/>
  <c r="I51" i="7"/>
  <c r="U21" i="7"/>
  <c r="Q38" i="7"/>
  <c r="I47" i="7"/>
  <c r="U17" i="7"/>
  <c r="Q34" i="7"/>
  <c r="I44" i="7"/>
  <c r="U14" i="7"/>
  <c r="Q30" i="7"/>
  <c r="I43" i="7"/>
  <c r="U13" i="7"/>
  <c r="V111" i="16"/>
  <c r="D93" i="16"/>
  <c r="V110" i="16"/>
  <c r="D92" i="16"/>
  <c r="V108" i="16"/>
  <c r="D90" i="16"/>
  <c r="V109" i="16"/>
  <c r="D91" i="16"/>
  <c r="V107" i="16"/>
  <c r="D89" i="16"/>
  <c r="V106" i="16"/>
  <c r="D88" i="16"/>
  <c r="V103" i="16"/>
  <c r="D85" i="16"/>
  <c r="D102" i="16"/>
  <c r="V101" i="16"/>
  <c r="D83" i="16"/>
  <c r="V100" i="16"/>
  <c r="D82" i="16"/>
  <c r="V57" i="16"/>
  <c r="D39" i="16"/>
  <c r="M56" i="16"/>
  <c r="AE19" i="16"/>
  <c r="D54" i="16"/>
  <c r="V17" i="16"/>
  <c r="AE37" i="16"/>
  <c r="M18" i="16"/>
  <c r="V35" i="16"/>
  <c r="AE52" i="16"/>
  <c r="M34" i="16"/>
  <c r="V49" i="16"/>
  <c r="D31" i="16"/>
  <c r="M47" i="16"/>
  <c r="AE10" i="16"/>
  <c r="D46" i="16"/>
  <c r="V9" i="16"/>
  <c r="O49" i="16"/>
  <c r="F47" i="16"/>
  <c r="AG28" i="16"/>
  <c r="O10" i="16"/>
  <c r="Q29" i="7"/>
  <c r="E13" i="7"/>
  <c r="X38" i="16"/>
  <c r="X15" i="16"/>
  <c r="E52" i="7"/>
  <c r="Q22" i="7"/>
  <c r="E51" i="7"/>
  <c r="Q21" i="7"/>
  <c r="K38" i="7"/>
  <c r="E47" i="7"/>
  <c r="Q17" i="7"/>
  <c r="K34" i="7"/>
  <c r="E44" i="7"/>
  <c r="Q14" i="7"/>
  <c r="K30" i="7"/>
  <c r="E43" i="7"/>
  <c r="Q13" i="7"/>
  <c r="F23" i="10" s="1"/>
  <c r="AE84" i="16"/>
  <c r="O57" i="16"/>
  <c r="AF21" i="17" s="1"/>
  <c r="AG20" i="16"/>
  <c r="F56" i="16"/>
  <c r="X19" i="16"/>
  <c r="AG36" i="16"/>
  <c r="O17" i="16"/>
  <c r="X37" i="16"/>
  <c r="AG53" i="16"/>
  <c r="O35" i="16"/>
  <c r="X52" i="16"/>
  <c r="F34" i="16"/>
  <c r="AG12" i="16"/>
  <c r="X10" i="16"/>
  <c r="O9" i="16"/>
  <c r="X28" i="16"/>
  <c r="E22" i="7"/>
  <c r="K19" i="7"/>
  <c r="O36" i="16"/>
  <c r="C52" i="7"/>
  <c r="O22" i="7"/>
  <c r="C51" i="7"/>
  <c r="O21" i="7"/>
  <c r="E38" i="7"/>
  <c r="C47" i="7"/>
  <c r="O17" i="7"/>
  <c r="E34" i="7"/>
  <c r="C44" i="7"/>
  <c r="O14" i="7"/>
  <c r="E30" i="7"/>
  <c r="C43" i="7"/>
  <c r="O13" i="7"/>
  <c r="M111" i="16"/>
  <c r="AE75" i="16"/>
  <c r="M110" i="16"/>
  <c r="AE74" i="16"/>
  <c r="M108" i="16"/>
  <c r="AE72" i="16"/>
  <c r="M109" i="16"/>
  <c r="AE73" i="16"/>
  <c r="M107" i="16"/>
  <c r="AE71" i="16"/>
  <c r="M106" i="16"/>
  <c r="AE70" i="16"/>
  <c r="M103" i="16"/>
  <c r="AE67" i="16"/>
  <c r="V84" i="16"/>
  <c r="M101" i="16"/>
  <c r="AE65" i="16"/>
  <c r="M100" i="16"/>
  <c r="AE64" i="16"/>
  <c r="M57" i="16"/>
  <c r="AE20" i="16"/>
  <c r="D56" i="16"/>
  <c r="V19" i="16"/>
  <c r="AE36" i="16"/>
  <c r="M17" i="16"/>
  <c r="V37" i="16"/>
  <c r="AE53" i="16"/>
  <c r="M35" i="16"/>
  <c r="V52" i="16"/>
  <c r="D34" i="16"/>
  <c r="M49" i="16"/>
  <c r="AE12" i="16"/>
  <c r="D47" i="16"/>
  <c r="V10" i="16"/>
  <c r="AE28" i="16"/>
  <c r="M9" i="16"/>
  <c r="O37" i="16"/>
  <c r="O52" i="16"/>
  <c r="F49" i="16"/>
  <c r="AG29" i="16"/>
  <c r="Q32" i="7"/>
  <c r="K15" i="7"/>
  <c r="F37" i="16"/>
  <c r="AG46" i="16"/>
  <c r="W37" i="7"/>
  <c r="K22" i="7"/>
  <c r="W36" i="7"/>
  <c r="K21" i="7"/>
  <c r="W23" i="7"/>
  <c r="W32" i="7"/>
  <c r="K17" i="7"/>
  <c r="W19" i="7"/>
  <c r="W29" i="7"/>
  <c r="G35" i="10" s="1"/>
  <c r="K14" i="7"/>
  <c r="G14" i="10" s="1"/>
  <c r="W15" i="7"/>
  <c r="W28" i="7"/>
  <c r="K13" i="7"/>
  <c r="M84" i="16"/>
  <c r="F57" i="16"/>
  <c r="X20" i="16"/>
  <c r="AG38" i="16"/>
  <c r="O19" i="16"/>
  <c r="X36" i="16"/>
  <c r="AG55" i="16"/>
  <c r="X53" i="16"/>
  <c r="F35" i="16"/>
  <c r="AG15" i="16"/>
  <c r="X12" i="16"/>
  <c r="F20" i="16"/>
  <c r="Q36" i="7"/>
  <c r="E17" i="7"/>
  <c r="Q28" i="7"/>
  <c r="O20" i="16"/>
  <c r="F52" i="16"/>
  <c r="U37" i="7"/>
  <c r="I22" i="7"/>
  <c r="U36" i="7"/>
  <c r="I21" i="7"/>
  <c r="Q23" i="7"/>
  <c r="U32" i="7"/>
  <c r="I17" i="7"/>
  <c r="Q19" i="7"/>
  <c r="U29" i="7"/>
  <c r="I14" i="7"/>
  <c r="Q15" i="7"/>
  <c r="U28" i="7"/>
  <c r="I13" i="7"/>
  <c r="D111" i="16"/>
  <c r="V75" i="16"/>
  <c r="D110" i="16"/>
  <c r="V74" i="16"/>
  <c r="D108" i="16"/>
  <c r="V72" i="16"/>
  <c r="D109" i="16"/>
  <c r="V73" i="16"/>
  <c r="D107" i="16"/>
  <c r="V71" i="16"/>
  <c r="D106" i="16"/>
  <c r="V70" i="16"/>
  <c r="D103" i="16"/>
  <c r="V67" i="16"/>
  <c r="D84" i="16"/>
  <c r="D101" i="16"/>
  <c r="V65" i="16"/>
  <c r="D100" i="16"/>
  <c r="V64" i="16"/>
  <c r="D57" i="16"/>
  <c r="V20" i="16"/>
  <c r="AE38" i="16"/>
  <c r="M19" i="16"/>
  <c r="V36" i="16"/>
  <c r="AE55" i="16"/>
  <c r="M37" i="16"/>
  <c r="V53" i="16"/>
  <c r="D35" i="16"/>
  <c r="M52" i="16"/>
  <c r="AE15" i="16"/>
  <c r="D49" i="16"/>
  <c r="V12" i="16"/>
  <c r="AE29" i="16"/>
  <c r="M10" i="16"/>
  <c r="V28" i="16"/>
  <c r="F19" i="16"/>
  <c r="Q37" i="7"/>
  <c r="E21" i="7"/>
  <c r="K23" i="7"/>
  <c r="E14" i="7"/>
  <c r="G5" i="10" s="1"/>
  <c r="X55" i="16"/>
  <c r="F18" i="16"/>
  <c r="X30" i="16"/>
  <c r="X11" i="16"/>
  <c r="V11" i="16"/>
  <c r="X48" i="16"/>
  <c r="V30" i="16"/>
  <c r="AG30" i="16"/>
  <c r="O11" i="16"/>
  <c r="AE11" i="16"/>
  <c r="V48" i="16"/>
  <c r="F11" i="16"/>
  <c r="AG48" i="16"/>
  <c r="AG11" i="16"/>
  <c r="AE30" i="16"/>
  <c r="AE48" i="16"/>
  <c r="O48" i="16"/>
  <c r="AF12" i="17" s="1"/>
  <c r="M48" i="16"/>
  <c r="D30" i="16"/>
  <c r="F48" i="16"/>
  <c r="M11" i="16"/>
  <c r="O30" i="16"/>
  <c r="AC12" i="17" s="1"/>
  <c r="M30" i="16"/>
  <c r="D11" i="16"/>
  <c r="F30" i="16"/>
  <c r="D48" i="16"/>
  <c r="AI104" i="16"/>
  <c r="AI94" i="16"/>
  <c r="AI95" i="16" s="1"/>
  <c r="AI86" i="16"/>
  <c r="Q68" i="16"/>
  <c r="Z76" i="16"/>
  <c r="AI112" i="16"/>
  <c r="AI113" i="16" s="1"/>
  <c r="Q76" i="16"/>
  <c r="Q77" i="16" s="1"/>
  <c r="Z68" i="16"/>
  <c r="Z77" i="16" s="1"/>
  <c r="AI77" i="16"/>
  <c r="Z113" i="16"/>
  <c r="Z95" i="16"/>
  <c r="Q95" i="16"/>
  <c r="AI31" i="17"/>
  <c r="Q31" i="17"/>
  <c r="BY32" i="17"/>
  <c r="BS31" i="17"/>
  <c r="AO31" i="17"/>
  <c r="BD31" i="17"/>
  <c r="AI32" i="17"/>
  <c r="Q32" i="17"/>
  <c r="H77" i="16"/>
  <c r="BG32" i="17"/>
  <c r="AL31" i="17"/>
  <c r="BS32" i="17"/>
  <c r="H10" i="17"/>
  <c r="BV31" i="17"/>
  <c r="T31" i="17"/>
  <c r="W31" i="17"/>
  <c r="AO32" i="17"/>
  <c r="BD32" i="17"/>
  <c r="BA32" i="17"/>
  <c r="BA31" i="17"/>
  <c r="BG31" i="17"/>
  <c r="AL32" i="17"/>
  <c r="BY31" i="17"/>
  <c r="BV32" i="17"/>
  <c r="T32" i="17"/>
  <c r="W32" i="17"/>
  <c r="AF11" i="17"/>
  <c r="AF13" i="17"/>
  <c r="H37" i="20"/>
  <c r="J32" i="20"/>
  <c r="J37" i="20" s="1"/>
  <c r="B14" i="28" s="1"/>
  <c r="B15" i="28" s="1"/>
  <c r="G37" i="20"/>
  <c r="E37" i="20"/>
  <c r="F37" i="20"/>
  <c r="O39" i="9"/>
  <c r="I39" i="9"/>
  <c r="U23" i="9"/>
  <c r="V21" i="9" s="1"/>
  <c r="L33" i="10" s="1"/>
  <c r="P33" i="9"/>
  <c r="H27" i="10" s="1"/>
  <c r="K54" i="9"/>
  <c r="AF20" i="17"/>
  <c r="AC20" i="17"/>
  <c r="AF19" i="17"/>
  <c r="AC19" i="17"/>
  <c r="AC13" i="17"/>
  <c r="AC18" i="17"/>
  <c r="AF16" i="17"/>
  <c r="AC21" i="17"/>
  <c r="AC17" i="17"/>
  <c r="AC11" i="17"/>
  <c r="D17" i="16"/>
  <c r="D10" i="16"/>
  <c r="D20" i="16"/>
  <c r="D16" i="16"/>
  <c r="F5" i="10"/>
  <c r="D19" i="16"/>
  <c r="D15" i="16"/>
  <c r="D12" i="16"/>
  <c r="D18" i="16"/>
  <c r="D9" i="16"/>
  <c r="V31" i="9"/>
  <c r="E36" i="10"/>
  <c r="V53" i="9"/>
  <c r="J54" i="9"/>
  <c r="M21" i="10"/>
  <c r="K23" i="9"/>
  <c r="P35" i="9"/>
  <c r="O54" i="9"/>
  <c r="P52" i="9" s="1"/>
  <c r="L30" i="10" s="1"/>
  <c r="F14" i="10"/>
  <c r="F35" i="10"/>
  <c r="I15" i="9"/>
  <c r="J13" i="9" s="1"/>
  <c r="D15" i="10" s="1"/>
  <c r="G38" i="10"/>
  <c r="G26" i="10"/>
  <c r="F11" i="10"/>
  <c r="G8" i="10"/>
  <c r="U23" i="7"/>
  <c r="V22" i="7" s="1"/>
  <c r="M32" i="10" s="1"/>
  <c r="F29" i="10"/>
  <c r="G20" i="10"/>
  <c r="G23" i="10"/>
  <c r="F38" i="10"/>
  <c r="G32" i="10"/>
  <c r="F26" i="10"/>
  <c r="G17" i="10"/>
  <c r="G11" i="10"/>
  <c r="F8" i="10"/>
  <c r="G29" i="10"/>
  <c r="C6" i="9"/>
  <c r="V34" i="9"/>
  <c r="P14" i="9"/>
  <c r="V18" i="9"/>
  <c r="I33" i="10" s="1"/>
  <c r="D14" i="9"/>
  <c r="E6" i="10" s="1"/>
  <c r="P21" i="9"/>
  <c r="V48" i="9"/>
  <c r="D30" i="9"/>
  <c r="E39" i="9"/>
  <c r="P44" i="9"/>
  <c r="P18" i="9"/>
  <c r="I24" i="10" s="1"/>
  <c r="P17" i="9"/>
  <c r="U39" i="9"/>
  <c r="V38" i="9" s="1"/>
  <c r="M36" i="10" s="1"/>
  <c r="J49" i="9"/>
  <c r="I21" i="10" s="1"/>
  <c r="J48" i="9"/>
  <c r="E54" i="9"/>
  <c r="W23" i="9"/>
  <c r="V44" i="9"/>
  <c r="O31" i="9"/>
  <c r="P29" i="9" s="1"/>
  <c r="D27" i="10" s="1"/>
  <c r="J30" i="9"/>
  <c r="E18" i="10" s="1"/>
  <c r="J29" i="9"/>
  <c r="D18" i="10" s="1"/>
  <c r="C39" i="9"/>
  <c r="D38" i="9" s="1"/>
  <c r="M9" i="10" s="1"/>
  <c r="C19" i="9"/>
  <c r="D17" i="9" s="1"/>
  <c r="H6" i="10" s="1"/>
  <c r="K39" i="9"/>
  <c r="Q39" i="9"/>
  <c r="D49" i="9"/>
  <c r="D45" i="9"/>
  <c r="J37" i="9"/>
  <c r="L18" i="10" s="1"/>
  <c r="J38" i="9"/>
  <c r="M18" i="10" s="1"/>
  <c r="W39" i="9"/>
  <c r="O50" i="9"/>
  <c r="P48" i="9" s="1"/>
  <c r="H30" i="10" s="1"/>
  <c r="I35" i="9"/>
  <c r="J33" i="9" s="1"/>
  <c r="H18" i="10" s="1"/>
  <c r="C35" i="9"/>
  <c r="D33" i="9" s="1"/>
  <c r="H9" i="10" s="1"/>
  <c r="Q54" i="9"/>
  <c r="E23" i="9"/>
  <c r="W54" i="9"/>
  <c r="V14" i="9"/>
  <c r="I46" i="9"/>
  <c r="J44" i="9" s="1"/>
  <c r="D21" i="10" s="1"/>
  <c r="P37" i="9"/>
  <c r="L27" i="10" s="1"/>
  <c r="P38" i="9"/>
  <c r="M27" i="10" s="1"/>
  <c r="D52" i="9"/>
  <c r="D22" i="9"/>
  <c r="U25" i="7"/>
  <c r="C35" i="10" s="1"/>
  <c r="C25" i="7"/>
  <c r="C8" i="10" s="1"/>
  <c r="I40" i="7"/>
  <c r="C20" i="10" s="1"/>
  <c r="O25" i="7"/>
  <c r="C26" i="10" s="1"/>
  <c r="I25" i="7"/>
  <c r="C17" i="10" s="1"/>
  <c r="O40" i="7"/>
  <c r="C29" i="10" s="1"/>
  <c r="C40" i="7"/>
  <c r="C11" i="10" s="1"/>
  <c r="I10" i="7"/>
  <c r="C14" i="10" s="1"/>
  <c r="O10" i="7"/>
  <c r="C23" i="10" s="1"/>
  <c r="U10" i="7"/>
  <c r="C32" i="10" s="1"/>
  <c r="U40" i="7"/>
  <c r="C38" i="10" s="1"/>
  <c r="C10" i="7"/>
  <c r="C5" i="10" s="1"/>
  <c r="E93" i="7" l="1"/>
  <c r="W27" i="17" s="1"/>
  <c r="C93" i="7"/>
  <c r="W93" i="7"/>
  <c r="BY27" i="17" s="1"/>
  <c r="BY37" i="17" s="1"/>
  <c r="U93" i="7"/>
  <c r="U94" i="7" s="1"/>
  <c r="K93" i="7"/>
  <c r="AO27" i="17" s="1"/>
  <c r="G79" i="23" s="1"/>
  <c r="G99" i="23" s="1"/>
  <c r="I93" i="7"/>
  <c r="Q63" i="7"/>
  <c r="BA27" i="17" s="1"/>
  <c r="BA28" i="17" s="1"/>
  <c r="BB26" i="17" s="1"/>
  <c r="O63" i="7"/>
  <c r="Q78" i="7"/>
  <c r="BD27" i="17" s="1"/>
  <c r="C27" i="27" s="1"/>
  <c r="D27" i="27" s="1"/>
  <c r="O78" i="7"/>
  <c r="W63" i="7"/>
  <c r="BS27" i="17" s="1"/>
  <c r="C32" i="27" s="1"/>
  <c r="D32" i="27" s="1"/>
  <c r="U63" i="7"/>
  <c r="U64" i="7" s="1"/>
  <c r="V62" i="7" s="1"/>
  <c r="E63" i="7"/>
  <c r="Q27" i="17" s="1"/>
  <c r="C63" i="7"/>
  <c r="C64" i="7" s="1"/>
  <c r="W78" i="7"/>
  <c r="BV27" i="17" s="1"/>
  <c r="C33" i="27" s="1"/>
  <c r="D33" i="27" s="1"/>
  <c r="U78" i="7"/>
  <c r="K78" i="7"/>
  <c r="AL27" i="17" s="1"/>
  <c r="E78" i="23" s="1"/>
  <c r="E98" i="23" s="1"/>
  <c r="I78" i="7"/>
  <c r="E78" i="7"/>
  <c r="T27" i="17" s="1"/>
  <c r="T37" i="17" s="1"/>
  <c r="C78" i="7"/>
  <c r="C79" i="7" s="1"/>
  <c r="K63" i="7"/>
  <c r="AI27" i="17" s="1"/>
  <c r="AI28" i="17" s="1"/>
  <c r="AJ26" i="17" s="1"/>
  <c r="I63" i="7"/>
  <c r="I64" i="7" s="1"/>
  <c r="Q93" i="7"/>
  <c r="BG27" i="17" s="1"/>
  <c r="C28" i="27" s="1"/>
  <c r="D28" i="27" s="1"/>
  <c r="O93" i="7"/>
  <c r="O94" i="7" s="1"/>
  <c r="P92" i="7" s="1"/>
  <c r="W18" i="7"/>
  <c r="U18" i="7"/>
  <c r="Q33" i="7"/>
  <c r="K26" i="10" s="1"/>
  <c r="O33" i="7"/>
  <c r="E18" i="7"/>
  <c r="H27" i="17" s="1"/>
  <c r="C18" i="7"/>
  <c r="K18" i="7"/>
  <c r="K14" i="10" s="1"/>
  <c r="I18" i="7"/>
  <c r="K48" i="7"/>
  <c r="AF27" i="17" s="1"/>
  <c r="I48" i="7"/>
  <c r="I49" i="7" s="1"/>
  <c r="J47" i="7" s="1"/>
  <c r="H20" i="10" s="1"/>
  <c r="W48" i="7"/>
  <c r="K38" i="10" s="1"/>
  <c r="U48" i="7"/>
  <c r="U49" i="7" s="1"/>
  <c r="V48" i="7" s="1"/>
  <c r="I38" i="10" s="1"/>
  <c r="K33" i="7"/>
  <c r="K17" i="10" s="1"/>
  <c r="I33" i="7"/>
  <c r="E48" i="7"/>
  <c r="K11" i="10" s="1"/>
  <c r="C48" i="7"/>
  <c r="Q48" i="7"/>
  <c r="AX27" i="17" s="1"/>
  <c r="C25" i="27" s="1"/>
  <c r="O48" i="7"/>
  <c r="W33" i="7"/>
  <c r="BM27" i="17" s="1"/>
  <c r="C30" i="27" s="1"/>
  <c r="U33" i="7"/>
  <c r="Q18" i="7"/>
  <c r="AR27" i="17" s="1"/>
  <c r="C23" i="27" s="1"/>
  <c r="O18" i="7"/>
  <c r="O19" i="7" s="1"/>
  <c r="P17" i="7" s="1"/>
  <c r="H23" i="10" s="1"/>
  <c r="E33" i="7"/>
  <c r="K27" i="17" s="1"/>
  <c r="C33" i="7"/>
  <c r="C34" i="7" s="1"/>
  <c r="D32" i="7" s="1"/>
  <c r="H8" i="10" s="1"/>
  <c r="I75" i="7"/>
  <c r="J73" i="7" s="1"/>
  <c r="C90" i="7"/>
  <c r="D88" i="7" s="1"/>
  <c r="C53" i="7"/>
  <c r="D51" i="7" s="1"/>
  <c r="L11" i="10" s="1"/>
  <c r="C75" i="7"/>
  <c r="D73" i="7" s="1"/>
  <c r="C30" i="7"/>
  <c r="D29" i="7" s="1"/>
  <c r="E8" i="10" s="1"/>
  <c r="M104" i="16"/>
  <c r="O98" i="7"/>
  <c r="P96" i="7" s="1"/>
  <c r="O60" i="7"/>
  <c r="P58" i="7" s="1"/>
  <c r="BG36" i="17"/>
  <c r="E28" i="27" s="1"/>
  <c r="F28" i="27" s="1"/>
  <c r="BG33" i="17"/>
  <c r="BH31" i="17" s="1"/>
  <c r="AI38" i="17"/>
  <c r="AE86" i="16"/>
  <c r="BS33" i="17"/>
  <c r="BT31" i="17" s="1"/>
  <c r="BS36" i="17"/>
  <c r="E32" i="27" s="1"/>
  <c r="F32" i="27" s="1"/>
  <c r="BG38" i="17"/>
  <c r="Q36" i="17"/>
  <c r="F111" i="23"/>
  <c r="H111" i="23"/>
  <c r="E111" i="23"/>
  <c r="D111" i="23"/>
  <c r="G111" i="23"/>
  <c r="BD38" i="17"/>
  <c r="BY38" i="17"/>
  <c r="AE112" i="16"/>
  <c r="AO33" i="17"/>
  <c r="AP31" i="17" s="1"/>
  <c r="AO36" i="17"/>
  <c r="E119" i="23"/>
  <c r="E139" i="23" s="1"/>
  <c r="G119" i="23"/>
  <c r="G139" i="23" s="1"/>
  <c r="D119" i="23"/>
  <c r="H119" i="23"/>
  <c r="H139" i="23" s="1"/>
  <c r="F119" i="23"/>
  <c r="F139" i="23" s="1"/>
  <c r="AE76" i="16"/>
  <c r="BY33" i="17"/>
  <c r="BZ32" i="17" s="1"/>
  <c r="BY36" i="17"/>
  <c r="E34" i="27" s="1"/>
  <c r="F34" i="27" s="1"/>
  <c r="AO38" i="17"/>
  <c r="AE94" i="16"/>
  <c r="BV38" i="17"/>
  <c r="BV37" i="17"/>
  <c r="AI33" i="17"/>
  <c r="AJ31" i="17" s="1"/>
  <c r="AI36" i="17"/>
  <c r="H117" i="23"/>
  <c r="H137" i="23" s="1"/>
  <c r="D117" i="23"/>
  <c r="E117" i="23"/>
  <c r="E137" i="23" s="1"/>
  <c r="F117" i="23"/>
  <c r="F137" i="23" s="1"/>
  <c r="G117" i="23"/>
  <c r="G137" i="23" s="1"/>
  <c r="T28" i="17"/>
  <c r="U26" i="17" s="1"/>
  <c r="E72" i="23"/>
  <c r="G72" i="23"/>
  <c r="W38" i="17"/>
  <c r="W33" i="17"/>
  <c r="X31" i="17" s="1"/>
  <c r="W36" i="17"/>
  <c r="D113" i="23"/>
  <c r="D133" i="23" s="1"/>
  <c r="H113" i="23"/>
  <c r="F113" i="23"/>
  <c r="E113" i="23"/>
  <c r="G113" i="23"/>
  <c r="BS38" i="17"/>
  <c r="T38" i="17"/>
  <c r="BD37" i="17"/>
  <c r="BA38" i="17"/>
  <c r="AL36" i="17"/>
  <c r="AL33" i="17"/>
  <c r="AM31" i="17" s="1"/>
  <c r="H118" i="23"/>
  <c r="H138" i="23" s="1"/>
  <c r="F118" i="23"/>
  <c r="F138" i="23" s="1"/>
  <c r="G118" i="23"/>
  <c r="G138" i="23" s="1"/>
  <c r="D118" i="23"/>
  <c r="E118" i="23"/>
  <c r="E138" i="23" s="1"/>
  <c r="F78" i="23"/>
  <c r="F98" i="23" s="1"/>
  <c r="BA33" i="17"/>
  <c r="BB32" i="17" s="1"/>
  <c r="BA36" i="17"/>
  <c r="E26" i="27" s="1"/>
  <c r="F26" i="27" s="1"/>
  <c r="T33" i="17"/>
  <c r="U32" i="17" s="1"/>
  <c r="T36" i="17"/>
  <c r="D112" i="23"/>
  <c r="H112" i="23"/>
  <c r="E112" i="23"/>
  <c r="F112" i="23"/>
  <c r="G112" i="23"/>
  <c r="D76" i="16"/>
  <c r="BD33" i="17"/>
  <c r="BE32" i="17" s="1"/>
  <c r="BD36" i="17"/>
  <c r="E27" i="27" s="1"/>
  <c r="F27" i="27" s="1"/>
  <c r="AL37" i="17"/>
  <c r="AL38" i="17"/>
  <c r="W37" i="17"/>
  <c r="W28" i="17"/>
  <c r="X26" i="17" s="1"/>
  <c r="F73" i="23"/>
  <c r="H73" i="23"/>
  <c r="D73" i="23"/>
  <c r="E73" i="23"/>
  <c r="G73" i="23"/>
  <c r="D86" i="16"/>
  <c r="Q33" i="17"/>
  <c r="R31" i="17" s="1"/>
  <c r="Q38" i="17"/>
  <c r="Q28" i="17"/>
  <c r="R26" i="17" s="1"/>
  <c r="Q37" i="17"/>
  <c r="G71" i="23"/>
  <c r="H71" i="23"/>
  <c r="E71" i="23"/>
  <c r="D71" i="23"/>
  <c r="F71" i="23"/>
  <c r="AE104" i="16"/>
  <c r="BV36" i="17"/>
  <c r="E33" i="27" s="1"/>
  <c r="F33" i="27" s="1"/>
  <c r="BV33" i="17"/>
  <c r="BW32" i="17" s="1"/>
  <c r="AE68" i="16"/>
  <c r="M112" i="16"/>
  <c r="I98" i="7"/>
  <c r="J96" i="7" s="1"/>
  <c r="C60" i="7"/>
  <c r="D58" i="7" s="1"/>
  <c r="O79" i="7"/>
  <c r="P77" i="7" s="1"/>
  <c r="V93" i="7"/>
  <c r="V92" i="7"/>
  <c r="V86" i="16"/>
  <c r="O90" i="7"/>
  <c r="P89" i="7" s="1"/>
  <c r="U83" i="7"/>
  <c r="V81" i="7" s="1"/>
  <c r="O75" i="7"/>
  <c r="P74" i="7" s="1"/>
  <c r="V112" i="16"/>
  <c r="M94" i="16"/>
  <c r="I90" i="7"/>
  <c r="J89" i="7" s="1"/>
  <c r="V104" i="16"/>
  <c r="D68" i="16"/>
  <c r="M68" i="16"/>
  <c r="D94" i="16"/>
  <c r="I60" i="7"/>
  <c r="J58" i="7" s="1"/>
  <c r="D63" i="7"/>
  <c r="D62" i="7"/>
  <c r="O64" i="7"/>
  <c r="P62" i="7" s="1"/>
  <c r="U75" i="7"/>
  <c r="V74" i="7" s="1"/>
  <c r="M86" i="16"/>
  <c r="M76" i="16"/>
  <c r="U68" i="7"/>
  <c r="V67" i="7" s="1"/>
  <c r="C68" i="7"/>
  <c r="D66" i="7" s="1"/>
  <c r="V94" i="16"/>
  <c r="I83" i="7"/>
  <c r="J81" i="7" s="1"/>
  <c r="J62" i="7"/>
  <c r="I68" i="7"/>
  <c r="J66" i="7" s="1"/>
  <c r="U45" i="7"/>
  <c r="V43" i="7" s="1"/>
  <c r="D38" i="10" s="1"/>
  <c r="D78" i="7"/>
  <c r="D77" i="7"/>
  <c r="C98" i="7"/>
  <c r="D96" i="7" s="1"/>
  <c r="D104" i="16"/>
  <c r="V76" i="16"/>
  <c r="O83" i="7"/>
  <c r="P82" i="7" s="1"/>
  <c r="U38" i="7"/>
  <c r="V37" i="7" s="1"/>
  <c r="M35" i="10" s="1"/>
  <c r="U79" i="7"/>
  <c r="V77" i="7" s="1"/>
  <c r="O68" i="7"/>
  <c r="P66" i="7" s="1"/>
  <c r="C94" i="7"/>
  <c r="D92" i="7" s="1"/>
  <c r="D112" i="16"/>
  <c r="I79" i="7"/>
  <c r="J77" i="7" s="1"/>
  <c r="U90" i="7"/>
  <c r="V88" i="7" s="1"/>
  <c r="U98" i="7"/>
  <c r="V96" i="7" s="1"/>
  <c r="C83" i="7"/>
  <c r="D81" i="7" s="1"/>
  <c r="V68" i="16"/>
  <c r="U60" i="7"/>
  <c r="V58" i="7" s="1"/>
  <c r="I94" i="7"/>
  <c r="J92" i="7" s="1"/>
  <c r="I53" i="7"/>
  <c r="J52" i="7" s="1"/>
  <c r="M20" i="10" s="1"/>
  <c r="AE21" i="16"/>
  <c r="AF16" i="16" s="1"/>
  <c r="U30" i="7"/>
  <c r="V28" i="7" s="1"/>
  <c r="D35" i="10" s="1"/>
  <c r="AE58" i="16"/>
  <c r="H12" i="17"/>
  <c r="BP13" i="17"/>
  <c r="H11" i="17"/>
  <c r="K17" i="17"/>
  <c r="H19" i="17"/>
  <c r="N17" i="17"/>
  <c r="K13" i="17"/>
  <c r="AU10" i="17"/>
  <c r="Z17" i="17"/>
  <c r="AU20" i="17"/>
  <c r="BP19" i="17"/>
  <c r="N18" i="17"/>
  <c r="H17" i="17"/>
  <c r="K20" i="17"/>
  <c r="H18" i="17"/>
  <c r="N10" i="17"/>
  <c r="K19" i="17"/>
  <c r="AU21" i="17"/>
  <c r="BP11" i="17"/>
  <c r="BP20" i="17"/>
  <c r="Z10" i="17"/>
  <c r="K21" i="17"/>
  <c r="Z21" i="17"/>
  <c r="AU17" i="17"/>
  <c r="AU12" i="17"/>
  <c r="O45" i="7"/>
  <c r="P43" i="7" s="1"/>
  <c r="D29" i="10" s="1"/>
  <c r="H21" i="17"/>
  <c r="N11" i="17"/>
  <c r="K12" i="17"/>
  <c r="AX10" i="17"/>
  <c r="Z20" i="17"/>
  <c r="Z18" i="17"/>
  <c r="AX12" i="17"/>
  <c r="AU18" i="17"/>
  <c r="N20" i="17"/>
  <c r="AU19" i="17"/>
  <c r="AX11" i="17"/>
  <c r="H16" i="17"/>
  <c r="N13" i="17"/>
  <c r="AX16" i="17"/>
  <c r="AX17" i="17"/>
  <c r="AX20" i="17"/>
  <c r="Z13" i="17"/>
  <c r="AX13" i="17"/>
  <c r="BP12" i="17"/>
  <c r="BP21" i="17"/>
  <c r="N12" i="17"/>
  <c r="Z12" i="17"/>
  <c r="K11" i="17"/>
  <c r="H13" i="17"/>
  <c r="K18" i="17"/>
  <c r="H20" i="17"/>
  <c r="AX19" i="17"/>
  <c r="Z11" i="17"/>
  <c r="AX21" i="17"/>
  <c r="BP18" i="17"/>
  <c r="AU13" i="17"/>
  <c r="C49" i="7"/>
  <c r="D47" i="7" s="1"/>
  <c r="H11" i="10" s="1"/>
  <c r="K10" i="17"/>
  <c r="N21" i="17"/>
  <c r="N19" i="17"/>
  <c r="AU11" i="17"/>
  <c r="N16" i="17"/>
  <c r="Z19" i="17"/>
  <c r="AX18" i="17"/>
  <c r="AR10" i="17"/>
  <c r="AR17" i="17"/>
  <c r="AR18" i="17"/>
  <c r="AR13" i="17"/>
  <c r="AR11" i="17"/>
  <c r="AR21" i="17"/>
  <c r="AR20" i="17"/>
  <c r="AR19" i="17"/>
  <c r="AR12" i="17"/>
  <c r="BM21" i="17"/>
  <c r="BM19" i="17"/>
  <c r="BM10" i="17"/>
  <c r="BJ17" i="17"/>
  <c r="BM18" i="17"/>
  <c r="BJ18" i="17"/>
  <c r="BJ13" i="17"/>
  <c r="BM11" i="17"/>
  <c r="BJ11" i="17"/>
  <c r="BJ21" i="17"/>
  <c r="BM13" i="17"/>
  <c r="D40" i="16"/>
  <c r="E35" i="16" s="1"/>
  <c r="BJ10" i="17"/>
  <c r="BJ20" i="17"/>
  <c r="BM17" i="17"/>
  <c r="BM12" i="17"/>
  <c r="BJ12" i="17"/>
  <c r="BJ19" i="17"/>
  <c r="BM20" i="17"/>
  <c r="D50" i="16"/>
  <c r="E46" i="16" s="1"/>
  <c r="AC14" i="17"/>
  <c r="AD12" i="17" s="1"/>
  <c r="M40" i="16"/>
  <c r="N37" i="16" s="1"/>
  <c r="AE40" i="16"/>
  <c r="AF35" i="16" s="1"/>
  <c r="V21" i="16"/>
  <c r="W19" i="16" s="1"/>
  <c r="M21" i="16"/>
  <c r="N16" i="16" s="1"/>
  <c r="F40" i="16"/>
  <c r="G35" i="16" s="1"/>
  <c r="K16" i="17"/>
  <c r="BP17" i="17"/>
  <c r="AG21" i="16"/>
  <c r="AH18" i="16" s="1"/>
  <c r="BJ16" i="17"/>
  <c r="V40" i="16"/>
  <c r="W37" i="16" s="1"/>
  <c r="BP10" i="17"/>
  <c r="O40" i="16"/>
  <c r="P38" i="16" s="1"/>
  <c r="AC16" i="17"/>
  <c r="AG40" i="16"/>
  <c r="AH38" i="16" s="1"/>
  <c r="BM16" i="17"/>
  <c r="AF22" i="17"/>
  <c r="X40" i="16"/>
  <c r="Y38" i="16" s="1"/>
  <c r="AU16" i="17"/>
  <c r="O21" i="16"/>
  <c r="P20" i="16" s="1"/>
  <c r="Z16" i="17"/>
  <c r="X21" i="16"/>
  <c r="Y18" i="16" s="1"/>
  <c r="AR16" i="17"/>
  <c r="AF10" i="17"/>
  <c r="AG58" i="16"/>
  <c r="BP16" i="17"/>
  <c r="J5" i="10"/>
  <c r="H26" i="17"/>
  <c r="J17" i="10"/>
  <c r="AC26" i="17"/>
  <c r="N38" i="10"/>
  <c r="BP31" i="17"/>
  <c r="J8" i="10"/>
  <c r="K26" i="17"/>
  <c r="O20" i="10"/>
  <c r="AF32" i="17"/>
  <c r="O8" i="10"/>
  <c r="K32" i="17"/>
  <c r="O11" i="10"/>
  <c r="N32" i="17"/>
  <c r="J32" i="10"/>
  <c r="BJ26" i="17"/>
  <c r="B29" i="27" s="1"/>
  <c r="N8" i="10"/>
  <c r="K31" i="17"/>
  <c r="J20" i="10"/>
  <c r="AF26" i="17"/>
  <c r="N26" i="10"/>
  <c r="AU31" i="17"/>
  <c r="N32" i="10"/>
  <c r="BJ31" i="17"/>
  <c r="K5" i="10"/>
  <c r="J14" i="10"/>
  <c r="Z26" i="17"/>
  <c r="O32" i="10"/>
  <c r="BJ32" i="17"/>
  <c r="O23" i="10"/>
  <c r="AR32" i="17"/>
  <c r="J26" i="10"/>
  <c r="AU26" i="17"/>
  <c r="B24" i="27" s="1"/>
  <c r="N29" i="10"/>
  <c r="AX31" i="17"/>
  <c r="N17" i="10"/>
  <c r="AC31" i="17"/>
  <c r="O38" i="10"/>
  <c r="BP32" i="17"/>
  <c r="O29" i="10"/>
  <c r="AX32" i="17"/>
  <c r="N23" i="10"/>
  <c r="AR31" i="17"/>
  <c r="N35" i="10"/>
  <c r="BM31" i="17"/>
  <c r="J35" i="10"/>
  <c r="BM26" i="17"/>
  <c r="B30" i="27" s="1"/>
  <c r="O5" i="10"/>
  <c r="H32" i="17"/>
  <c r="J11" i="10"/>
  <c r="N26" i="17"/>
  <c r="J23" i="10"/>
  <c r="AR26" i="17"/>
  <c r="B23" i="27" s="1"/>
  <c r="C38" i="7"/>
  <c r="D37" i="7" s="1"/>
  <c r="M8" i="10" s="1"/>
  <c r="J38" i="10"/>
  <c r="BP26" i="17"/>
  <c r="B31" i="27" s="1"/>
  <c r="J29" i="10"/>
  <c r="AX26" i="17"/>
  <c r="B25" i="27" s="1"/>
  <c r="N5" i="10"/>
  <c r="H31" i="17"/>
  <c r="U19" i="7"/>
  <c r="V18" i="7" s="1"/>
  <c r="I32" i="10" s="1"/>
  <c r="K32" i="10"/>
  <c r="BJ27" i="17"/>
  <c r="C29" i="27" s="1"/>
  <c r="N20" i="10"/>
  <c r="AF31" i="17"/>
  <c r="N14" i="10"/>
  <c r="Z31" i="17"/>
  <c r="O17" i="10"/>
  <c r="AC32" i="17"/>
  <c r="O14" i="10"/>
  <c r="Z32" i="17"/>
  <c r="O35" i="10"/>
  <c r="BM32" i="17"/>
  <c r="N11" i="10"/>
  <c r="N31" i="17"/>
  <c r="O26" i="10"/>
  <c r="AU32" i="17"/>
  <c r="M50" i="16"/>
  <c r="N47" i="16" s="1"/>
  <c r="P53" i="9"/>
  <c r="V22" i="9"/>
  <c r="M33" i="10" s="1"/>
  <c r="J34" i="9"/>
  <c r="I18" i="10" s="1"/>
  <c r="F32" i="16"/>
  <c r="F50" i="16"/>
  <c r="G48" i="16" s="1"/>
  <c r="F13" i="16"/>
  <c r="X58" i="16"/>
  <c r="Y52" i="16" s="1"/>
  <c r="AG32" i="16"/>
  <c r="O30" i="7"/>
  <c r="P29" i="7" s="1"/>
  <c r="E26" i="10" s="1"/>
  <c r="I30" i="7"/>
  <c r="J29" i="7" s="1"/>
  <c r="E17" i="10" s="1"/>
  <c r="D32" i="16"/>
  <c r="E30" i="16" s="1"/>
  <c r="O32" i="16"/>
  <c r="P29" i="16" s="1"/>
  <c r="AE50" i="16"/>
  <c r="O50" i="16"/>
  <c r="AG50" i="16"/>
  <c r="F58" i="16"/>
  <c r="G54" i="16" s="1"/>
  <c r="V50" i="16"/>
  <c r="M58" i="16"/>
  <c r="N54" i="16" s="1"/>
  <c r="AE13" i="16"/>
  <c r="AF12" i="16" s="1"/>
  <c r="M13" i="16"/>
  <c r="N11" i="16" s="1"/>
  <c r="D21" i="16"/>
  <c r="W72" i="16" s="1"/>
  <c r="F21" i="16"/>
  <c r="X32" i="16"/>
  <c r="V58" i="16"/>
  <c r="W57" i="16" s="1"/>
  <c r="AG13" i="16"/>
  <c r="V13" i="16"/>
  <c r="X13" i="16"/>
  <c r="AE32" i="16"/>
  <c r="AF28" i="16" s="1"/>
  <c r="X50" i="16"/>
  <c r="O13" i="16"/>
  <c r="O58" i="16"/>
  <c r="P54" i="16" s="1"/>
  <c r="V32" i="16"/>
  <c r="D58" i="16"/>
  <c r="E52" i="16" s="1"/>
  <c r="M32" i="16"/>
  <c r="D13" i="16"/>
  <c r="W101" i="16" s="1"/>
  <c r="O34" i="7"/>
  <c r="P32" i="7" s="1"/>
  <c r="H26" i="10" s="1"/>
  <c r="O15" i="7"/>
  <c r="P14" i="7" s="1"/>
  <c r="E23" i="10" s="1"/>
  <c r="U53" i="7"/>
  <c r="V51" i="7" s="1"/>
  <c r="L38" i="10" s="1"/>
  <c r="I38" i="7"/>
  <c r="J37" i="7" s="1"/>
  <c r="M17" i="10" s="1"/>
  <c r="I23" i="7"/>
  <c r="J22" i="7" s="1"/>
  <c r="M14" i="10" s="1"/>
  <c r="O38" i="7"/>
  <c r="P37" i="7" s="1"/>
  <c r="M26" i="10" s="1"/>
  <c r="U15" i="7"/>
  <c r="V13" i="7" s="1"/>
  <c r="I19" i="7"/>
  <c r="J17" i="7" s="1"/>
  <c r="H14" i="10" s="1"/>
  <c r="O49" i="7"/>
  <c r="P48" i="7" s="1"/>
  <c r="I29" i="10" s="1"/>
  <c r="U34" i="7"/>
  <c r="V33" i="7" s="1"/>
  <c r="I35" i="10" s="1"/>
  <c r="O23" i="7"/>
  <c r="P22" i="7" s="1"/>
  <c r="M23" i="10" s="1"/>
  <c r="I45" i="7"/>
  <c r="J44" i="7" s="1"/>
  <c r="E20" i="10" s="1"/>
  <c r="I34" i="7"/>
  <c r="J32" i="7" s="1"/>
  <c r="H17" i="10" s="1"/>
  <c r="P46" i="9"/>
  <c r="D30" i="10"/>
  <c r="V54" i="9"/>
  <c r="M39" i="10"/>
  <c r="D15" i="9"/>
  <c r="P23" i="9"/>
  <c r="L24" i="10"/>
  <c r="V19" i="9"/>
  <c r="V50" i="9"/>
  <c r="H39" i="10"/>
  <c r="D46" i="9"/>
  <c r="E12" i="10"/>
  <c r="J50" i="9"/>
  <c r="H21" i="10"/>
  <c r="P19" i="9"/>
  <c r="H24" i="10"/>
  <c r="P15" i="9"/>
  <c r="E24" i="10"/>
  <c r="O53" i="7"/>
  <c r="P51" i="7" s="1"/>
  <c r="L29" i="10" s="1"/>
  <c r="V21" i="7"/>
  <c r="L32" i="10" s="1"/>
  <c r="D54" i="9"/>
  <c r="L12" i="10"/>
  <c r="V15" i="9"/>
  <c r="E33" i="10"/>
  <c r="D50" i="9"/>
  <c r="I12" i="10"/>
  <c r="V46" i="9"/>
  <c r="D39" i="10"/>
  <c r="P54" i="9"/>
  <c r="M30" i="10"/>
  <c r="V35" i="9"/>
  <c r="I36" i="10"/>
  <c r="C45" i="7"/>
  <c r="D43" i="7" s="1"/>
  <c r="D11" i="10" s="1"/>
  <c r="I15" i="7"/>
  <c r="J14" i="7" s="1"/>
  <c r="E14" i="10" s="1"/>
  <c r="I23" i="9"/>
  <c r="J21" i="9" s="1"/>
  <c r="I19" i="9"/>
  <c r="J18" i="9" s="1"/>
  <c r="I15" i="10" s="1"/>
  <c r="J14" i="9"/>
  <c r="D23" i="9"/>
  <c r="M6" i="10"/>
  <c r="D31" i="9"/>
  <c r="E9" i="10"/>
  <c r="V23" i="9"/>
  <c r="P49" i="9"/>
  <c r="I30" i="10" s="1"/>
  <c r="P39" i="9"/>
  <c r="D18" i="9"/>
  <c r="I6" i="10" s="1"/>
  <c r="V37" i="9"/>
  <c r="J45" i="9"/>
  <c r="E21" i="10" s="1"/>
  <c r="J39" i="9"/>
  <c r="D37" i="9"/>
  <c r="P30" i="9"/>
  <c r="J31" i="9"/>
  <c r="D34" i="9"/>
  <c r="O8" i="7"/>
  <c r="I8" i="7"/>
  <c r="C23" i="7"/>
  <c r="D22" i="7" s="1"/>
  <c r="M5" i="10" s="1"/>
  <c r="C8" i="7"/>
  <c r="U8" i="7"/>
  <c r="C15" i="7"/>
  <c r="C19" i="7"/>
  <c r="D17" i="7" s="1"/>
  <c r="H5" i="10" s="1"/>
  <c r="V63" i="7" l="1"/>
  <c r="K29" i="10"/>
  <c r="N27" i="17"/>
  <c r="D79" i="23"/>
  <c r="D99" i="23" s="1"/>
  <c r="AI37" i="17"/>
  <c r="D78" i="23"/>
  <c r="C34" i="27"/>
  <c r="D34" i="27" s="1"/>
  <c r="K20" i="10"/>
  <c r="AU27" i="17"/>
  <c r="C24" i="27" s="1"/>
  <c r="D24" i="27" s="1"/>
  <c r="F79" i="23"/>
  <c r="F99" i="23" s="1"/>
  <c r="C26" i="27"/>
  <c r="D26" i="27" s="1"/>
  <c r="AO28" i="17"/>
  <c r="AP26" i="17" s="1"/>
  <c r="G78" i="23"/>
  <c r="G98" i="23" s="1"/>
  <c r="BD28" i="17"/>
  <c r="BE26" i="17" s="1"/>
  <c r="D77" i="23"/>
  <c r="D97" i="23" s="1"/>
  <c r="K35" i="10"/>
  <c r="H77" i="23"/>
  <c r="H97" i="23" s="1"/>
  <c r="AO37" i="17"/>
  <c r="H78" i="23"/>
  <c r="H98" i="23" s="1"/>
  <c r="D72" i="23"/>
  <c r="Z27" i="17"/>
  <c r="H74" i="23" s="1"/>
  <c r="AL28" i="17"/>
  <c r="AM26" i="17" s="1"/>
  <c r="F72" i="23"/>
  <c r="BV28" i="17"/>
  <c r="BW26" i="17" s="1"/>
  <c r="K23" i="10"/>
  <c r="G77" i="23"/>
  <c r="G97" i="23" s="1"/>
  <c r="H72" i="23"/>
  <c r="AR37" i="17"/>
  <c r="E79" i="23"/>
  <c r="E99" i="23" s="1"/>
  <c r="F77" i="23"/>
  <c r="F97" i="23" s="1"/>
  <c r="BA37" i="17"/>
  <c r="H79" i="23"/>
  <c r="H99" i="23" s="1"/>
  <c r="E77" i="23"/>
  <c r="E97" i="23" s="1"/>
  <c r="BY28" i="17"/>
  <c r="BZ26" i="17" s="1"/>
  <c r="J63" i="7"/>
  <c r="J64" i="7" s="1"/>
  <c r="BS28" i="17"/>
  <c r="BT26" i="17" s="1"/>
  <c r="BS37" i="17"/>
  <c r="BP27" i="17"/>
  <c r="C31" i="27" s="1"/>
  <c r="AC27" i="17"/>
  <c r="D75" i="23" s="1"/>
  <c r="BG28" i="17"/>
  <c r="BH26" i="17" s="1"/>
  <c r="BG37" i="17"/>
  <c r="D89" i="7"/>
  <c r="D90" i="7" s="1"/>
  <c r="K8" i="10"/>
  <c r="D52" i="7"/>
  <c r="M11" i="10" s="1"/>
  <c r="M113" i="16"/>
  <c r="P97" i="7"/>
  <c r="P98" i="7" s="1"/>
  <c r="J97" i="7"/>
  <c r="J98" i="7" s="1"/>
  <c r="V47" i="7"/>
  <c r="V49" i="7" s="1"/>
  <c r="J74" i="7"/>
  <c r="J75" i="7" s="1"/>
  <c r="D28" i="7"/>
  <c r="D30" i="7" s="1"/>
  <c r="D74" i="7"/>
  <c r="D75" i="7" s="1"/>
  <c r="BT32" i="17"/>
  <c r="BT33" i="17" s="1"/>
  <c r="V82" i="7"/>
  <c r="V83" i="7" s="1"/>
  <c r="D95" i="16"/>
  <c r="P59" i="7"/>
  <c r="P60" i="7" s="1"/>
  <c r="P44" i="7"/>
  <c r="E29" i="10" s="1"/>
  <c r="P52" i="7"/>
  <c r="M29" i="10" s="1"/>
  <c r="V44" i="7"/>
  <c r="V45" i="7" s="1"/>
  <c r="V95" i="16"/>
  <c r="BP38" i="17"/>
  <c r="J36" i="7"/>
  <c r="L17" i="10" s="1"/>
  <c r="BE31" i="17"/>
  <c r="BE33" i="17" s="1"/>
  <c r="P88" i="7"/>
  <c r="P90" i="7" s="1"/>
  <c r="X32" i="17"/>
  <c r="X33" i="17" s="1"/>
  <c r="BH32" i="17"/>
  <c r="BH33" i="17" s="1"/>
  <c r="U31" i="17"/>
  <c r="U33" i="17" s="1"/>
  <c r="AF82" i="16"/>
  <c r="BB31" i="17"/>
  <c r="BB33" i="17" s="1"/>
  <c r="D36" i="7"/>
  <c r="D38" i="7" s="1"/>
  <c r="V113" i="16"/>
  <c r="P93" i="7"/>
  <c r="P94" i="7" s="1"/>
  <c r="D64" i="7"/>
  <c r="AP32" i="17"/>
  <c r="AP33" i="17" s="1"/>
  <c r="V94" i="7"/>
  <c r="R27" i="17"/>
  <c r="R28" i="17" s="1"/>
  <c r="BZ31" i="17"/>
  <c r="BZ33" i="17" s="1"/>
  <c r="AM32" i="17"/>
  <c r="AM33" i="17" s="1"/>
  <c r="J21" i="7"/>
  <c r="J23" i="7" s="1"/>
  <c r="V66" i="7"/>
  <c r="V68" i="7" s="1"/>
  <c r="R32" i="17"/>
  <c r="R33" i="17" s="1"/>
  <c r="U27" i="17"/>
  <c r="U28" i="17" s="1"/>
  <c r="BW31" i="17"/>
  <c r="BW33" i="17" s="1"/>
  <c r="AF72" i="16"/>
  <c r="AF75" i="16"/>
  <c r="BB27" i="17"/>
  <c r="BB28" i="17" s="1"/>
  <c r="AE77" i="16"/>
  <c r="AF89" i="16"/>
  <c r="AF107" i="16"/>
  <c r="AF73" i="16"/>
  <c r="D29" i="27"/>
  <c r="AF102" i="16"/>
  <c r="X27" i="17"/>
  <c r="X28" i="17" s="1"/>
  <c r="I118" i="23"/>
  <c r="D138" i="23"/>
  <c r="I138" i="23" s="1"/>
  <c r="D137" i="23"/>
  <c r="I137" i="23" s="1"/>
  <c r="I117" i="23"/>
  <c r="AE113" i="16"/>
  <c r="D110" i="23"/>
  <c r="E110" i="23"/>
  <c r="E130" i="23" s="1"/>
  <c r="G110" i="23"/>
  <c r="G130" i="23" s="1"/>
  <c r="H110" i="23"/>
  <c r="H130" i="23" s="1"/>
  <c r="F110" i="23"/>
  <c r="F130" i="23" s="1"/>
  <c r="AF64" i="16"/>
  <c r="AF110" i="16"/>
  <c r="AF106" i="16"/>
  <c r="AJ32" i="17"/>
  <c r="AJ33" i="17" s="1"/>
  <c r="AG59" i="16"/>
  <c r="AI48" i="16" s="1"/>
  <c r="AC37" i="17"/>
  <c r="E75" i="23"/>
  <c r="E76" i="23"/>
  <c r="H76" i="23"/>
  <c r="D76" i="23"/>
  <c r="G76" i="23"/>
  <c r="F76" i="23"/>
  <c r="B37" i="27"/>
  <c r="J67" i="7"/>
  <c r="J68" i="7" s="1"/>
  <c r="AF74" i="16"/>
  <c r="D30" i="27"/>
  <c r="G68" i="23"/>
  <c r="F68" i="23"/>
  <c r="H68" i="23"/>
  <c r="D68" i="23"/>
  <c r="E68" i="23"/>
  <c r="V36" i="7"/>
  <c r="V38" i="7" s="1"/>
  <c r="V29" i="7"/>
  <c r="E35" i="10" s="1"/>
  <c r="D108" i="23"/>
  <c r="D128" i="23" s="1"/>
  <c r="G108" i="23"/>
  <c r="F108" i="23"/>
  <c r="H108" i="23"/>
  <c r="E108" i="23"/>
  <c r="E69" i="23"/>
  <c r="D69" i="23"/>
  <c r="H69" i="23"/>
  <c r="G69" i="23"/>
  <c r="F69" i="23"/>
  <c r="D55" i="23"/>
  <c r="F55" i="23"/>
  <c r="E55" i="23"/>
  <c r="H55" i="23"/>
  <c r="G55" i="23"/>
  <c r="J59" i="7"/>
  <c r="J60" i="7" s="1"/>
  <c r="D59" i="7"/>
  <c r="D60" i="7" s="1"/>
  <c r="V64" i="7"/>
  <c r="AF103" i="16"/>
  <c r="AJ27" i="17"/>
  <c r="AJ28" i="17" s="1"/>
  <c r="BE27" i="17"/>
  <c r="BE28" i="17" s="1"/>
  <c r="AF65" i="16"/>
  <c r="AF111" i="16"/>
  <c r="AF100" i="16"/>
  <c r="AF92" i="16"/>
  <c r="D23" i="27"/>
  <c r="G115" i="23"/>
  <c r="G135" i="23" s="1"/>
  <c r="D115" i="23"/>
  <c r="F115" i="23"/>
  <c r="F135" i="23" s="1"/>
  <c r="E115" i="23"/>
  <c r="E135" i="23" s="1"/>
  <c r="H115" i="23"/>
  <c r="H135" i="23" s="1"/>
  <c r="E49" i="23"/>
  <c r="D49" i="23"/>
  <c r="H49" i="23"/>
  <c r="G49" i="23"/>
  <c r="F49" i="23"/>
  <c r="D50" i="23"/>
  <c r="G50" i="23"/>
  <c r="E50" i="23"/>
  <c r="F50" i="23"/>
  <c r="H50" i="23"/>
  <c r="H114" i="23"/>
  <c r="H134" i="23" s="1"/>
  <c r="D114" i="23"/>
  <c r="E114" i="23"/>
  <c r="E134" i="23" s="1"/>
  <c r="F114" i="23"/>
  <c r="F134" i="23" s="1"/>
  <c r="G114" i="23"/>
  <c r="G134" i="23" s="1"/>
  <c r="D25" i="27"/>
  <c r="D93" i="7"/>
  <c r="D94" i="7" s="1"/>
  <c r="D98" i="23"/>
  <c r="I78" i="23"/>
  <c r="AF91" i="16"/>
  <c r="AE95" i="16"/>
  <c r="J28" i="7"/>
  <c r="D17" i="10" s="1"/>
  <c r="H56" i="23"/>
  <c r="D56" i="23"/>
  <c r="E56" i="23"/>
  <c r="F56" i="23"/>
  <c r="G56" i="23"/>
  <c r="D77" i="16"/>
  <c r="AF84" i="16"/>
  <c r="AF83" i="16"/>
  <c r="AF88" i="16"/>
  <c r="D139" i="23"/>
  <c r="I139" i="23" s="1"/>
  <c r="I119" i="23"/>
  <c r="AF67" i="16"/>
  <c r="G116" i="23"/>
  <c r="G136" i="23" s="1"/>
  <c r="E116" i="23"/>
  <c r="E136" i="23" s="1"/>
  <c r="H116" i="23"/>
  <c r="H136" i="23" s="1"/>
  <c r="D116" i="23"/>
  <c r="F116" i="23"/>
  <c r="F136" i="23" s="1"/>
  <c r="F48" i="23"/>
  <c r="G48" i="23"/>
  <c r="H48" i="23"/>
  <c r="D48" i="23"/>
  <c r="E48" i="23"/>
  <c r="AF93" i="16"/>
  <c r="AF66" i="16"/>
  <c r="AF101" i="16"/>
  <c r="AF109" i="16"/>
  <c r="BH27" i="17"/>
  <c r="BH28" i="17" s="1"/>
  <c r="AF90" i="16"/>
  <c r="D70" i="23"/>
  <c r="E70" i="23"/>
  <c r="G70" i="23"/>
  <c r="F70" i="23"/>
  <c r="H70" i="23"/>
  <c r="H54" i="23"/>
  <c r="E54" i="23"/>
  <c r="F54" i="23"/>
  <c r="D54" i="23"/>
  <c r="G54" i="23"/>
  <c r="F109" i="23"/>
  <c r="F129" i="23" s="1"/>
  <c r="E109" i="23"/>
  <c r="E129" i="23" s="1"/>
  <c r="D109" i="23"/>
  <c r="H109" i="23"/>
  <c r="H129" i="23" s="1"/>
  <c r="G109" i="23"/>
  <c r="G129" i="23" s="1"/>
  <c r="J88" i="7"/>
  <c r="J90" i="7" s="1"/>
  <c r="AF108" i="16"/>
  <c r="AF70" i="16"/>
  <c r="AF85" i="16"/>
  <c r="AF71" i="16"/>
  <c r="J93" i="7"/>
  <c r="J94" i="7" s="1"/>
  <c r="P13" i="7"/>
  <c r="D23" i="10" s="1"/>
  <c r="G34" i="16"/>
  <c r="W66" i="16"/>
  <c r="J51" i="7"/>
  <c r="J53" i="7" s="1"/>
  <c r="D79" i="7"/>
  <c r="P15" i="16"/>
  <c r="M95" i="16"/>
  <c r="W64" i="16"/>
  <c r="P81" i="7"/>
  <c r="P83" i="7" s="1"/>
  <c r="N67" i="16"/>
  <c r="N85" i="16"/>
  <c r="N64" i="16"/>
  <c r="J82" i="7"/>
  <c r="J83" i="7" s="1"/>
  <c r="W107" i="16"/>
  <c r="P73" i="7"/>
  <c r="P75" i="7" s="1"/>
  <c r="W65" i="16"/>
  <c r="N84" i="16"/>
  <c r="N66" i="16"/>
  <c r="N73" i="16"/>
  <c r="N70" i="16"/>
  <c r="D82" i="7"/>
  <c r="D83" i="7" s="1"/>
  <c r="N93" i="16"/>
  <c r="D67" i="7"/>
  <c r="D68" i="7" s="1"/>
  <c r="W74" i="16"/>
  <c r="N72" i="16"/>
  <c r="W93" i="16"/>
  <c r="N92" i="16"/>
  <c r="N89" i="16"/>
  <c r="W90" i="16"/>
  <c r="W91" i="16"/>
  <c r="W84" i="16"/>
  <c r="V59" i="7"/>
  <c r="V60" i="7" s="1"/>
  <c r="N75" i="16"/>
  <c r="V78" i="7"/>
  <c r="V79" i="7" s="1"/>
  <c r="W103" i="16"/>
  <c r="W111" i="16"/>
  <c r="W108" i="16"/>
  <c r="N71" i="16"/>
  <c r="W100" i="16"/>
  <c r="W106" i="16"/>
  <c r="D97" i="7"/>
  <c r="D98" i="7" s="1"/>
  <c r="H38" i="17"/>
  <c r="W102" i="16"/>
  <c r="J78" i="7"/>
  <c r="J79" i="7" s="1"/>
  <c r="N90" i="16"/>
  <c r="N91" i="16"/>
  <c r="N82" i="16"/>
  <c r="N74" i="16"/>
  <c r="W92" i="16"/>
  <c r="P19" i="16"/>
  <c r="W67" i="16"/>
  <c r="W110" i="16"/>
  <c r="V77" i="16"/>
  <c r="P67" i="7"/>
  <c r="P68" i="7" s="1"/>
  <c r="P63" i="7"/>
  <c r="P64" i="7" s="1"/>
  <c r="W109" i="16"/>
  <c r="N88" i="16"/>
  <c r="W75" i="16"/>
  <c r="W82" i="16"/>
  <c r="W71" i="16"/>
  <c r="W70" i="16"/>
  <c r="W88" i="16"/>
  <c r="W73" i="16"/>
  <c r="W89" i="16"/>
  <c r="N83" i="16"/>
  <c r="W83" i="16"/>
  <c r="V89" i="7"/>
  <c r="V90" i="7" s="1"/>
  <c r="D113" i="16"/>
  <c r="W85" i="16"/>
  <c r="V73" i="7"/>
  <c r="V75" i="7" s="1"/>
  <c r="M77" i="16"/>
  <c r="N65" i="16"/>
  <c r="V97" i="7"/>
  <c r="V98" i="7" s="1"/>
  <c r="P78" i="7"/>
  <c r="P79" i="7" s="1"/>
  <c r="G104" i="16"/>
  <c r="G86" i="16"/>
  <c r="N103" i="16"/>
  <c r="E101" i="16"/>
  <c r="E85" i="16"/>
  <c r="E65" i="16"/>
  <c r="N100" i="16"/>
  <c r="E66" i="16"/>
  <c r="E100" i="16"/>
  <c r="N102" i="16"/>
  <c r="E83" i="16"/>
  <c r="E67" i="16"/>
  <c r="N101" i="16"/>
  <c r="E82" i="16"/>
  <c r="E64" i="16"/>
  <c r="E102" i="16"/>
  <c r="E84" i="16"/>
  <c r="E103" i="16"/>
  <c r="G46" i="16"/>
  <c r="G16" i="16"/>
  <c r="G94" i="16"/>
  <c r="G112" i="16"/>
  <c r="E17" i="16"/>
  <c r="E108" i="16"/>
  <c r="E106" i="16"/>
  <c r="E90" i="16"/>
  <c r="E109" i="16"/>
  <c r="N110" i="16"/>
  <c r="E111" i="16"/>
  <c r="N109" i="16"/>
  <c r="E89" i="16"/>
  <c r="N107" i="16"/>
  <c r="E73" i="16"/>
  <c r="E71" i="16"/>
  <c r="E91" i="16"/>
  <c r="N111" i="16"/>
  <c r="E70" i="16"/>
  <c r="E93" i="16"/>
  <c r="E74" i="16"/>
  <c r="N106" i="16"/>
  <c r="E107" i="16"/>
  <c r="E72" i="16"/>
  <c r="E88" i="16"/>
  <c r="E75" i="16"/>
  <c r="E92" i="16"/>
  <c r="N108" i="16"/>
  <c r="E110" i="16"/>
  <c r="Z38" i="17"/>
  <c r="BM36" i="17"/>
  <c r="E30" i="27" s="1"/>
  <c r="F30" i="27" s="1"/>
  <c r="BP36" i="17"/>
  <c r="E31" i="27" s="1"/>
  <c r="F31" i="27" s="1"/>
  <c r="N19" i="16"/>
  <c r="D48" i="7"/>
  <c r="D49" i="7" s="1"/>
  <c r="N22" i="17"/>
  <c r="O19" i="17" s="1"/>
  <c r="K14" i="17"/>
  <c r="L13" i="17" s="1"/>
  <c r="P28" i="7"/>
  <c r="P30" i="7" s="1"/>
  <c r="AX22" i="17"/>
  <c r="AY16" i="17" s="1"/>
  <c r="AU14" i="17"/>
  <c r="AV10" i="17" s="1"/>
  <c r="H22" i="17"/>
  <c r="I19" i="17" s="1"/>
  <c r="H14" i="17"/>
  <c r="I10" i="17" s="1"/>
  <c r="J18" i="7"/>
  <c r="J19" i="7" s="1"/>
  <c r="J48" i="7"/>
  <c r="J49" i="7" s="1"/>
  <c r="E48" i="16"/>
  <c r="E47" i="16"/>
  <c r="E49" i="16"/>
  <c r="Z14" i="17"/>
  <c r="AA12" i="17" s="1"/>
  <c r="N14" i="17"/>
  <c r="O10" i="17" s="1"/>
  <c r="G133" i="23"/>
  <c r="E133" i="23"/>
  <c r="F133" i="23"/>
  <c r="H133" i="23"/>
  <c r="H37" i="17"/>
  <c r="AX14" i="17"/>
  <c r="AH28" i="16"/>
  <c r="AG41" i="16"/>
  <c r="V17" i="7"/>
  <c r="H32" i="10" s="1"/>
  <c r="P21" i="7"/>
  <c r="P23" i="7" s="1"/>
  <c r="G36" i="16"/>
  <c r="G9" i="16"/>
  <c r="F22" i="16"/>
  <c r="H36" i="17"/>
  <c r="AG17" i="17"/>
  <c r="G28" i="16"/>
  <c r="F41" i="16"/>
  <c r="G39" i="16"/>
  <c r="AR14" i="17"/>
  <c r="AS13" i="17" s="1"/>
  <c r="P10" i="16"/>
  <c r="O22" i="16"/>
  <c r="J33" i="7"/>
  <c r="J34" i="7" s="1"/>
  <c r="P33" i="7"/>
  <c r="I26" i="10" s="1"/>
  <c r="F59" i="16"/>
  <c r="H46" i="16" s="1"/>
  <c r="AU38" i="17"/>
  <c r="E132" i="23"/>
  <c r="G132" i="23"/>
  <c r="F132" i="23"/>
  <c r="H132" i="23"/>
  <c r="N38" i="17"/>
  <c r="AF38" i="17"/>
  <c r="H131" i="23"/>
  <c r="F131" i="23"/>
  <c r="E131" i="23"/>
  <c r="G131" i="23"/>
  <c r="K33" i="17"/>
  <c r="L31" i="17" s="1"/>
  <c r="AH19" i="16"/>
  <c r="N15" i="16"/>
  <c r="N18" i="16"/>
  <c r="AH16" i="16"/>
  <c r="Y17" i="16"/>
  <c r="AH17" i="16"/>
  <c r="N17" i="16"/>
  <c r="P16" i="16"/>
  <c r="P17" i="16"/>
  <c r="Y28" i="16"/>
  <c r="X41" i="16"/>
  <c r="V59" i="16"/>
  <c r="G11" i="16"/>
  <c r="Y47" i="16"/>
  <c r="X59" i="16"/>
  <c r="Y12" i="16"/>
  <c r="X22" i="16"/>
  <c r="Z9" i="16" s="1"/>
  <c r="K41" i="25" s="1"/>
  <c r="AF49" i="16"/>
  <c r="AE59" i="16"/>
  <c r="AG18" i="17"/>
  <c r="BJ14" i="17"/>
  <c r="BK11" i="17" s="1"/>
  <c r="BM14" i="17"/>
  <c r="BN12" i="17" s="1"/>
  <c r="AH9" i="16"/>
  <c r="AG22" i="16"/>
  <c r="AI9" i="16" s="1"/>
  <c r="N41" i="25" s="1"/>
  <c r="P53" i="16"/>
  <c r="AD13" i="17"/>
  <c r="P55" i="16"/>
  <c r="BJ22" i="17"/>
  <c r="W49" i="16"/>
  <c r="P31" i="16"/>
  <c r="G12" i="16"/>
  <c r="AH12" i="16"/>
  <c r="D59" i="16"/>
  <c r="M59" i="16"/>
  <c r="Y9" i="16"/>
  <c r="P56" i="16"/>
  <c r="P57" i="16"/>
  <c r="AG21" i="17"/>
  <c r="AG16" i="17"/>
  <c r="P52" i="16"/>
  <c r="Y30" i="16"/>
  <c r="N20" i="16"/>
  <c r="G49" i="16"/>
  <c r="AG19" i="17"/>
  <c r="AD10" i="17"/>
  <c r="G10" i="16"/>
  <c r="G47" i="16"/>
  <c r="AD11" i="17"/>
  <c r="P30" i="16"/>
  <c r="AH29" i="16"/>
  <c r="Y16" i="16"/>
  <c r="Y15" i="16"/>
  <c r="Y19" i="16"/>
  <c r="G19" i="16"/>
  <c r="G15" i="16"/>
  <c r="AE41" i="16"/>
  <c r="G29" i="16"/>
  <c r="P48" i="16"/>
  <c r="P47" i="16"/>
  <c r="P49" i="16"/>
  <c r="Y55" i="16"/>
  <c r="Y54" i="16"/>
  <c r="AH55" i="16"/>
  <c r="AH56" i="16"/>
  <c r="AH57" i="16"/>
  <c r="AH54" i="16"/>
  <c r="M41" i="16"/>
  <c r="AE22" i="16"/>
  <c r="AH47" i="16"/>
  <c r="AH48" i="16"/>
  <c r="AH49" i="16"/>
  <c r="BM22" i="17"/>
  <c r="AC22" i="17"/>
  <c r="K22" i="17"/>
  <c r="Y56" i="16"/>
  <c r="Y39" i="16"/>
  <c r="Y31" i="16"/>
  <c r="P9" i="16"/>
  <c r="G53" i="16"/>
  <c r="G52" i="16"/>
  <c r="G55" i="16"/>
  <c r="AH31" i="16"/>
  <c r="Y53" i="16"/>
  <c r="P46" i="16"/>
  <c r="AR22" i="17"/>
  <c r="Z22" i="17"/>
  <c r="AH46" i="16"/>
  <c r="V41" i="16"/>
  <c r="M22" i="16"/>
  <c r="V22" i="16"/>
  <c r="BP22" i="17"/>
  <c r="G56" i="16"/>
  <c r="G31" i="16"/>
  <c r="G18" i="16"/>
  <c r="AH30" i="16"/>
  <c r="G30" i="16"/>
  <c r="Y57" i="16"/>
  <c r="AH52" i="16"/>
  <c r="AF14" i="17"/>
  <c r="AG10" i="17" s="1"/>
  <c r="AU22" i="17"/>
  <c r="D41" i="16"/>
  <c r="AG20" i="17"/>
  <c r="BP14" i="17"/>
  <c r="BQ10" i="17" s="1"/>
  <c r="AH53" i="16"/>
  <c r="E29" i="16"/>
  <c r="W54" i="16"/>
  <c r="AF11" i="16"/>
  <c r="AF10" i="16"/>
  <c r="AF9" i="16"/>
  <c r="N28" i="16"/>
  <c r="W12" i="16"/>
  <c r="W47" i="16"/>
  <c r="N46" i="16"/>
  <c r="W31" i="16"/>
  <c r="N12" i="16"/>
  <c r="E28" i="16"/>
  <c r="D22" i="16"/>
  <c r="W36" i="16"/>
  <c r="N55" i="16"/>
  <c r="E36" i="16"/>
  <c r="W46" i="16"/>
  <c r="AF18" i="16"/>
  <c r="W30" i="16"/>
  <c r="W28" i="16"/>
  <c r="N56" i="16"/>
  <c r="W39" i="16"/>
  <c r="E19" i="16"/>
  <c r="N49" i="16"/>
  <c r="W55" i="16"/>
  <c r="W56" i="16"/>
  <c r="E37" i="16"/>
  <c r="W10" i="16"/>
  <c r="N48" i="16"/>
  <c r="E38" i="16"/>
  <c r="E39" i="16"/>
  <c r="E18" i="16"/>
  <c r="AF48" i="16"/>
  <c r="AF47" i="16"/>
  <c r="W35" i="16"/>
  <c r="N57" i="16"/>
  <c r="E15" i="16"/>
  <c r="W38" i="16"/>
  <c r="AF46" i="16"/>
  <c r="BM38" i="17"/>
  <c r="AF37" i="17"/>
  <c r="K37" i="17"/>
  <c r="AR28" i="17"/>
  <c r="AS27" i="17" s="1"/>
  <c r="AR36" i="17"/>
  <c r="E23" i="27" s="1"/>
  <c r="BM28" i="17"/>
  <c r="BN27" i="17" s="1"/>
  <c r="AX38" i="17"/>
  <c r="AC33" i="17"/>
  <c r="AD32" i="17" s="1"/>
  <c r="AU36" i="17"/>
  <c r="E24" i="27" s="1"/>
  <c r="BJ38" i="17"/>
  <c r="BJ33" i="17"/>
  <c r="BK31" i="17" s="1"/>
  <c r="AF36" i="17"/>
  <c r="AF28" i="17"/>
  <c r="AG27" i="17" s="1"/>
  <c r="BJ28" i="17"/>
  <c r="BK27" i="17" s="1"/>
  <c r="BJ36" i="17"/>
  <c r="E29" i="27" s="1"/>
  <c r="F29" i="27" s="1"/>
  <c r="BP33" i="17"/>
  <c r="BQ32" i="17" s="1"/>
  <c r="AU37" i="17"/>
  <c r="D33" i="7"/>
  <c r="D34" i="7" s="1"/>
  <c r="V52" i="7"/>
  <c r="V53" i="7" s="1"/>
  <c r="AC38" i="17"/>
  <c r="AF33" i="17"/>
  <c r="AG32" i="17" s="1"/>
  <c r="H33" i="17"/>
  <c r="I32" i="17" s="1"/>
  <c r="BP28" i="17"/>
  <c r="BQ26" i="17" s="1"/>
  <c r="P36" i="7"/>
  <c r="P38" i="7" s="1"/>
  <c r="V14" i="7"/>
  <c r="E32" i="10" s="1"/>
  <c r="BP37" i="17"/>
  <c r="N28" i="17"/>
  <c r="N36" i="17"/>
  <c r="BM37" i="17"/>
  <c r="N37" i="17"/>
  <c r="BM33" i="17"/>
  <c r="BN32" i="17" s="1"/>
  <c r="AR33" i="17"/>
  <c r="AS32" i="17" s="1"/>
  <c r="AX33" i="17"/>
  <c r="AY32" i="17" s="1"/>
  <c r="AR38" i="17"/>
  <c r="Z36" i="17"/>
  <c r="AX37" i="17"/>
  <c r="AU33" i="17"/>
  <c r="AV32" i="17" s="1"/>
  <c r="K38" i="17"/>
  <c r="K36" i="17"/>
  <c r="K28" i="17"/>
  <c r="AC28" i="17"/>
  <c r="AD26" i="17" s="1"/>
  <c r="AC36" i="17"/>
  <c r="H28" i="17"/>
  <c r="I26" i="17" s="1"/>
  <c r="N33" i="17"/>
  <c r="O32" i="17" s="1"/>
  <c r="Z33" i="17"/>
  <c r="AA32" i="17" s="1"/>
  <c r="BJ37" i="17"/>
  <c r="AX36" i="17"/>
  <c r="E25" i="27" s="1"/>
  <c r="F25" i="27" s="1"/>
  <c r="AX28" i="17"/>
  <c r="AY26" i="17" s="1"/>
  <c r="AF55" i="16"/>
  <c r="AF54" i="16"/>
  <c r="AF52" i="16"/>
  <c r="AF53" i="16"/>
  <c r="AF56" i="16"/>
  <c r="AF57" i="16"/>
  <c r="AF36" i="16"/>
  <c r="W9" i="16"/>
  <c r="N39" i="16"/>
  <c r="AF38" i="16"/>
  <c r="N38" i="16"/>
  <c r="N36" i="16"/>
  <c r="J46" i="9"/>
  <c r="D19" i="9"/>
  <c r="P50" i="9"/>
  <c r="J35" i="9"/>
  <c r="J22" i="9"/>
  <c r="M15" i="10" s="1"/>
  <c r="AF30" i="16"/>
  <c r="Y48" i="16"/>
  <c r="N30" i="16"/>
  <c r="AH35" i="16"/>
  <c r="Y36" i="16"/>
  <c r="Y29" i="16"/>
  <c r="W53" i="16"/>
  <c r="AF39" i="16"/>
  <c r="Y37" i="16"/>
  <c r="P18" i="16"/>
  <c r="N31" i="16"/>
  <c r="Y35" i="16"/>
  <c r="P11" i="16"/>
  <c r="E55" i="16"/>
  <c r="AF19" i="16"/>
  <c r="P39" i="16"/>
  <c r="G57" i="16"/>
  <c r="G38" i="16"/>
  <c r="AH34" i="16"/>
  <c r="W15" i="16"/>
  <c r="W29" i="16"/>
  <c r="AF15" i="16"/>
  <c r="P35" i="16"/>
  <c r="E53" i="16"/>
  <c r="Y49" i="16"/>
  <c r="P12" i="16"/>
  <c r="Y34" i="16"/>
  <c r="W52" i="16"/>
  <c r="AF34" i="16"/>
  <c r="W17" i="16"/>
  <c r="N34" i="16"/>
  <c r="AF37" i="16"/>
  <c r="W16" i="16"/>
  <c r="W18" i="16"/>
  <c r="P28" i="16"/>
  <c r="W11" i="16"/>
  <c r="E56" i="16"/>
  <c r="Y20" i="16"/>
  <c r="AH20" i="16"/>
  <c r="W34" i="16"/>
  <c r="G37" i="16"/>
  <c r="AH36" i="16"/>
  <c r="P36" i="16"/>
  <c r="AH39" i="16"/>
  <c r="E57" i="16"/>
  <c r="AH37" i="16"/>
  <c r="W20" i="16"/>
  <c r="AF20" i="16"/>
  <c r="N9" i="16"/>
  <c r="AH11" i="16"/>
  <c r="P37" i="16"/>
  <c r="AH15" i="16"/>
  <c r="N53" i="16"/>
  <c r="N10" i="16"/>
  <c r="E34" i="16"/>
  <c r="Y11" i="16"/>
  <c r="Y10" i="16"/>
  <c r="W48" i="16"/>
  <c r="AH10" i="16"/>
  <c r="E54" i="16"/>
  <c r="E31" i="16"/>
  <c r="P34" i="16"/>
  <c r="Y46" i="16"/>
  <c r="AF17" i="16"/>
  <c r="N29" i="16"/>
  <c r="N52" i="16"/>
  <c r="N35" i="16"/>
  <c r="E20" i="16"/>
  <c r="G20" i="16"/>
  <c r="AF29" i="16"/>
  <c r="AF31" i="16"/>
  <c r="E16" i="16"/>
  <c r="G17" i="16"/>
  <c r="E12" i="16"/>
  <c r="E11" i="16"/>
  <c r="E10" i="16"/>
  <c r="E9" i="16"/>
  <c r="P18" i="7"/>
  <c r="I23" i="10" s="1"/>
  <c r="P47" i="7"/>
  <c r="P49" i="7" s="1"/>
  <c r="D53" i="7"/>
  <c r="J43" i="7"/>
  <c r="J45" i="7" s="1"/>
  <c r="D44" i="7"/>
  <c r="D45" i="7" s="1"/>
  <c r="V32" i="7"/>
  <c r="H35" i="10" s="1"/>
  <c r="J13" i="7"/>
  <c r="J15" i="7" s="1"/>
  <c r="P31" i="9"/>
  <c r="E27" i="10"/>
  <c r="V39" i="9"/>
  <c r="L36" i="10"/>
  <c r="J23" i="9"/>
  <c r="L15" i="10"/>
  <c r="V23" i="7"/>
  <c r="D39" i="9"/>
  <c r="L9" i="10"/>
  <c r="J15" i="9"/>
  <c r="E15" i="10"/>
  <c r="C6" i="7"/>
  <c r="J17" i="9"/>
  <c r="D8" i="10"/>
  <c r="D35" i="9"/>
  <c r="I9" i="10"/>
  <c r="D21" i="7"/>
  <c r="D18" i="7"/>
  <c r="D14" i="7"/>
  <c r="E5" i="10" s="1"/>
  <c r="D13" i="7"/>
  <c r="D5" i="10" s="1"/>
  <c r="I98" i="23" l="1"/>
  <c r="I79" i="23"/>
  <c r="F75" i="23"/>
  <c r="AM27" i="17"/>
  <c r="AM28" i="17"/>
  <c r="G74" i="23"/>
  <c r="G94" i="23" s="1"/>
  <c r="D74" i="23"/>
  <c r="D83" i="23" s="1"/>
  <c r="Z37" i="17"/>
  <c r="F74" i="23"/>
  <c r="F83" i="23" s="1"/>
  <c r="I99" i="23"/>
  <c r="Z28" i="17"/>
  <c r="AA27" i="17" s="1"/>
  <c r="E74" i="23"/>
  <c r="E83" i="23" s="1"/>
  <c r="I97" i="23"/>
  <c r="AU28" i="17"/>
  <c r="AV26" i="17" s="1"/>
  <c r="I77" i="23"/>
  <c r="G75" i="23"/>
  <c r="G95" i="23" s="1"/>
  <c r="H75" i="23"/>
  <c r="H95" i="23" s="1"/>
  <c r="H38" i="10"/>
  <c r="BW27" i="17"/>
  <c r="BW28" i="17" s="1"/>
  <c r="BZ27" i="17"/>
  <c r="BZ28" i="17" s="1"/>
  <c r="BT27" i="17"/>
  <c r="AP27" i="17"/>
  <c r="AP28" i="17" s="1"/>
  <c r="C37" i="27"/>
  <c r="D31" i="27"/>
  <c r="D37" i="27" s="1"/>
  <c r="J38" i="7"/>
  <c r="P45" i="7"/>
  <c r="P53" i="7"/>
  <c r="P15" i="7"/>
  <c r="E38" i="10"/>
  <c r="V30" i="7"/>
  <c r="L35" i="10"/>
  <c r="L20" i="10"/>
  <c r="L14" i="10"/>
  <c r="G96" i="23"/>
  <c r="AI49" i="16"/>
  <c r="P43" i="25" s="1"/>
  <c r="AI57" i="16"/>
  <c r="AI54" i="16"/>
  <c r="P46" i="25" s="1"/>
  <c r="F94" i="23"/>
  <c r="J30" i="7"/>
  <c r="L8" i="10"/>
  <c r="L23" i="10"/>
  <c r="D26" i="10"/>
  <c r="E95" i="23"/>
  <c r="F95" i="23"/>
  <c r="AI56" i="16"/>
  <c r="AI46" i="16"/>
  <c r="P41" i="25" s="1"/>
  <c r="H94" i="23"/>
  <c r="AI53" i="16"/>
  <c r="P45" i="25" s="1"/>
  <c r="AF68" i="16"/>
  <c r="AI52" i="16"/>
  <c r="P44" i="25" s="1"/>
  <c r="I11" i="10"/>
  <c r="AI55" i="16"/>
  <c r="P47" i="25" s="1"/>
  <c r="AI47" i="16"/>
  <c r="P42" i="25" s="1"/>
  <c r="AF104" i="16"/>
  <c r="AF86" i="16"/>
  <c r="F24" i="27"/>
  <c r="F23" i="27"/>
  <c r="E37" i="27"/>
  <c r="I54" i="23"/>
  <c r="W76" i="16"/>
  <c r="W104" i="16"/>
  <c r="AF76" i="16"/>
  <c r="W112" i="16"/>
  <c r="F96" i="23"/>
  <c r="I55" i="23"/>
  <c r="D95" i="23"/>
  <c r="E63" i="23"/>
  <c r="E96" i="23"/>
  <c r="D63" i="23"/>
  <c r="D96" i="23"/>
  <c r="I56" i="23"/>
  <c r="H63" i="23"/>
  <c r="H96" i="23"/>
  <c r="D135" i="23"/>
  <c r="I135" i="23" s="1"/>
  <c r="I115" i="23"/>
  <c r="G63" i="23"/>
  <c r="F63" i="23"/>
  <c r="AF94" i="16"/>
  <c r="D134" i="23"/>
  <c r="I134" i="23" s="1"/>
  <c r="I114" i="23"/>
  <c r="AF112" i="16"/>
  <c r="D136" i="23"/>
  <c r="I136" i="23" s="1"/>
  <c r="I116" i="23"/>
  <c r="B36" i="25"/>
  <c r="I76" i="23"/>
  <c r="I20" i="17"/>
  <c r="I17" i="17"/>
  <c r="I16" i="17"/>
  <c r="I18" i="17"/>
  <c r="I21" i="17"/>
  <c r="N86" i="16"/>
  <c r="AY20" i="17"/>
  <c r="W86" i="16"/>
  <c r="W68" i="16"/>
  <c r="V15" i="7"/>
  <c r="AY17" i="17"/>
  <c r="AY18" i="17"/>
  <c r="E76" i="16"/>
  <c r="N94" i="16"/>
  <c r="AY21" i="17"/>
  <c r="AY19" i="17"/>
  <c r="W94" i="16"/>
  <c r="N76" i="16"/>
  <c r="N68" i="16"/>
  <c r="E86" i="16"/>
  <c r="P112" i="16"/>
  <c r="H86" i="16"/>
  <c r="H104" i="16"/>
  <c r="E94" i="16"/>
  <c r="E112" i="16"/>
  <c r="E104" i="16"/>
  <c r="N112" i="16"/>
  <c r="E68" i="16"/>
  <c r="N104" i="16"/>
  <c r="P104" i="16"/>
  <c r="O18" i="17"/>
  <c r="O16" i="17"/>
  <c r="O17" i="17"/>
  <c r="O21" i="17"/>
  <c r="O20" i="17"/>
  <c r="K23" i="17"/>
  <c r="L11" i="17"/>
  <c r="L12" i="17"/>
  <c r="L10" i="17"/>
  <c r="AV11" i="17"/>
  <c r="AV12" i="17"/>
  <c r="AV13" i="17"/>
  <c r="L32" i="17"/>
  <c r="L33" i="17" s="1"/>
  <c r="E50" i="16"/>
  <c r="I12" i="17"/>
  <c r="I13" i="17"/>
  <c r="I11" i="17"/>
  <c r="I14" i="10"/>
  <c r="P34" i="7"/>
  <c r="H23" i="17"/>
  <c r="AS10" i="17"/>
  <c r="I20" i="10"/>
  <c r="O12" i="17"/>
  <c r="O11" i="17"/>
  <c r="V34" i="7"/>
  <c r="P19" i="7"/>
  <c r="O13" i="17"/>
  <c r="N23" i="17"/>
  <c r="AA13" i="17"/>
  <c r="V19" i="7"/>
  <c r="AS12" i="17"/>
  <c r="BM23" i="17"/>
  <c r="AS11" i="17"/>
  <c r="AA11" i="17"/>
  <c r="I8" i="10"/>
  <c r="I17" i="10"/>
  <c r="AA10" i="17"/>
  <c r="BP23" i="17"/>
  <c r="BK16" i="17"/>
  <c r="BJ23" i="17"/>
  <c r="AI31" i="16"/>
  <c r="AI28" i="16"/>
  <c r="O41" i="25" s="1"/>
  <c r="AI29" i="16"/>
  <c r="O42" i="25" s="1"/>
  <c r="AI34" i="16"/>
  <c r="O44" i="25" s="1"/>
  <c r="AI38" i="16"/>
  <c r="AI30" i="16"/>
  <c r="AI36" i="16"/>
  <c r="O46" i="25" s="1"/>
  <c r="AI37" i="16"/>
  <c r="O47" i="25" s="1"/>
  <c r="AI39" i="16"/>
  <c r="AI35" i="16"/>
  <c r="O45" i="25" s="1"/>
  <c r="AA16" i="17"/>
  <c r="Z23" i="17"/>
  <c r="Q19" i="16"/>
  <c r="Q11" i="16"/>
  <c r="Q16" i="16"/>
  <c r="H45" i="25" s="1"/>
  <c r="Q20" i="16"/>
  <c r="Q10" i="16"/>
  <c r="H42" i="25" s="1"/>
  <c r="Q18" i="16"/>
  <c r="H47" i="25" s="1"/>
  <c r="Q9" i="16"/>
  <c r="H41" i="25" s="1"/>
  <c r="Q12" i="16"/>
  <c r="Q15" i="16"/>
  <c r="H44" i="25" s="1"/>
  <c r="Q17" i="16"/>
  <c r="H46" i="25" s="1"/>
  <c r="H9" i="16"/>
  <c r="E41" i="25" s="1"/>
  <c r="H20" i="16"/>
  <c r="H19" i="16"/>
  <c r="H11" i="16"/>
  <c r="H18" i="16"/>
  <c r="E47" i="25" s="1"/>
  <c r="H15" i="16"/>
  <c r="E44" i="25" s="1"/>
  <c r="H16" i="16"/>
  <c r="E45" i="25" s="1"/>
  <c r="H12" i="16"/>
  <c r="H10" i="16"/>
  <c r="E42" i="25" s="1"/>
  <c r="H17" i="16"/>
  <c r="E46" i="25" s="1"/>
  <c r="AY10" i="17"/>
  <c r="AY13" i="17"/>
  <c r="AY12" i="17"/>
  <c r="AX23" i="17"/>
  <c r="AV16" i="17"/>
  <c r="AU23" i="17"/>
  <c r="AS16" i="17"/>
  <c r="AR23" i="17"/>
  <c r="Z36" i="16"/>
  <c r="L46" i="25" s="1"/>
  <c r="Z31" i="16"/>
  <c r="Z37" i="16"/>
  <c r="L47" i="25" s="1"/>
  <c r="Z30" i="16"/>
  <c r="Z38" i="16"/>
  <c r="Z35" i="16"/>
  <c r="L45" i="25" s="1"/>
  <c r="Z29" i="16"/>
  <c r="L42" i="25" s="1"/>
  <c r="Z39" i="16"/>
  <c r="Z34" i="16"/>
  <c r="L44" i="25" s="1"/>
  <c r="Z28" i="16"/>
  <c r="L41" i="25" s="1"/>
  <c r="BK18" i="17"/>
  <c r="N21" i="16"/>
  <c r="H31" i="16"/>
  <c r="H34" i="16"/>
  <c r="F44" i="25" s="1"/>
  <c r="H37" i="16"/>
  <c r="F47" i="25" s="1"/>
  <c r="H29" i="16"/>
  <c r="F42" i="25" s="1"/>
  <c r="H28" i="16"/>
  <c r="F41" i="25" s="1"/>
  <c r="H38" i="16"/>
  <c r="H30" i="16"/>
  <c r="H36" i="16"/>
  <c r="F46" i="25" s="1"/>
  <c r="H35" i="16"/>
  <c r="F45" i="25" s="1"/>
  <c r="H39" i="16"/>
  <c r="E89" i="23"/>
  <c r="AF23" i="17"/>
  <c r="BK10" i="17"/>
  <c r="BK19" i="17"/>
  <c r="G41" i="25"/>
  <c r="H55" i="16"/>
  <c r="G47" i="25" s="1"/>
  <c r="H48" i="16"/>
  <c r="H52" i="16"/>
  <c r="G44" i="25" s="1"/>
  <c r="H47" i="16"/>
  <c r="G42" i="25" s="1"/>
  <c r="H56" i="16"/>
  <c r="H57" i="16"/>
  <c r="H53" i="16"/>
  <c r="G45" i="25" s="1"/>
  <c r="H49" i="16"/>
  <c r="H54" i="16"/>
  <c r="G46" i="25" s="1"/>
  <c r="I113" i="23"/>
  <c r="AD16" i="17"/>
  <c r="AC23" i="17"/>
  <c r="Z57" i="16"/>
  <c r="Z54" i="16"/>
  <c r="M46" i="25" s="1"/>
  <c r="Z52" i="16"/>
  <c r="M44" i="25" s="1"/>
  <c r="Z49" i="16"/>
  <c r="Z56" i="16"/>
  <c r="Z48" i="16"/>
  <c r="Z53" i="16"/>
  <c r="M45" i="25" s="1"/>
  <c r="Z55" i="16"/>
  <c r="M47" i="25" s="1"/>
  <c r="Z46" i="16"/>
  <c r="M41" i="25" s="1"/>
  <c r="Z47" i="16"/>
  <c r="M42" i="25" s="1"/>
  <c r="AY11" i="17"/>
  <c r="E123" i="23"/>
  <c r="F123" i="23"/>
  <c r="D123" i="23"/>
  <c r="G123" i="23"/>
  <c r="H123" i="23"/>
  <c r="F92" i="23"/>
  <c r="G89" i="23"/>
  <c r="G91" i="23"/>
  <c r="H92" i="23"/>
  <c r="E128" i="23"/>
  <c r="E143" i="23" s="1"/>
  <c r="G128" i="23"/>
  <c r="G143" i="23" s="1"/>
  <c r="H128" i="23"/>
  <c r="H143" i="23" s="1"/>
  <c r="F128" i="23"/>
  <c r="F143" i="23" s="1"/>
  <c r="G88" i="23"/>
  <c r="E88" i="23"/>
  <c r="G90" i="23"/>
  <c r="E93" i="23"/>
  <c r="E92" i="23"/>
  <c r="G93" i="23"/>
  <c r="L27" i="17"/>
  <c r="BN11" i="17"/>
  <c r="F89" i="23"/>
  <c r="F88" i="23"/>
  <c r="O26" i="17"/>
  <c r="E90" i="23"/>
  <c r="H90" i="23"/>
  <c r="H93" i="23"/>
  <c r="D88" i="23"/>
  <c r="I48" i="23"/>
  <c r="D92" i="23"/>
  <c r="I52" i="23"/>
  <c r="I69" i="23"/>
  <c r="H89" i="23"/>
  <c r="E91" i="23"/>
  <c r="I50" i="23"/>
  <c r="D90" i="23"/>
  <c r="I133" i="23"/>
  <c r="F93" i="23"/>
  <c r="I73" i="23"/>
  <c r="I72" i="23"/>
  <c r="I108" i="23"/>
  <c r="G92" i="23"/>
  <c r="H91" i="23"/>
  <c r="D91" i="23"/>
  <c r="I51" i="23"/>
  <c r="I70" i="23"/>
  <c r="D130" i="23"/>
  <c r="I130" i="23" s="1"/>
  <c r="I110" i="23"/>
  <c r="D93" i="23"/>
  <c r="I53" i="23"/>
  <c r="O27" i="17"/>
  <c r="D129" i="23"/>
  <c r="I109" i="23"/>
  <c r="D131" i="23"/>
  <c r="I131" i="23" s="1"/>
  <c r="I111" i="23"/>
  <c r="AG31" i="17"/>
  <c r="AG33" i="17" s="1"/>
  <c r="BK13" i="17"/>
  <c r="BK12" i="17"/>
  <c r="I49" i="23"/>
  <c r="D89" i="23"/>
  <c r="I71" i="23"/>
  <c r="F91" i="23"/>
  <c r="F90" i="23"/>
  <c r="H88" i="23"/>
  <c r="I68" i="23"/>
  <c r="I112" i="23"/>
  <c r="D132" i="23"/>
  <c r="I132" i="23" s="1"/>
  <c r="BN13" i="17"/>
  <c r="P58" i="16"/>
  <c r="P21" i="16"/>
  <c r="BK17" i="17"/>
  <c r="BK20" i="17"/>
  <c r="AD14" i="17"/>
  <c r="BN10" i="17"/>
  <c r="G50" i="16"/>
  <c r="Z15" i="16"/>
  <c r="K44" i="25" s="1"/>
  <c r="Z17" i="16"/>
  <c r="K46" i="25" s="1"/>
  <c r="Z10" i="16"/>
  <c r="K42" i="25" s="1"/>
  <c r="Z19" i="16"/>
  <c r="Z12" i="16"/>
  <c r="Z20" i="16"/>
  <c r="Z11" i="16"/>
  <c r="Z16" i="16"/>
  <c r="K45" i="25" s="1"/>
  <c r="Z18" i="16"/>
  <c r="K47" i="25" s="1"/>
  <c r="G21" i="16"/>
  <c r="Y32" i="16"/>
  <c r="AI16" i="16"/>
  <c r="N45" i="25" s="1"/>
  <c r="AI10" i="16"/>
  <c r="N42" i="25" s="1"/>
  <c r="AI18" i="16"/>
  <c r="N47" i="25" s="1"/>
  <c r="AI17" i="16"/>
  <c r="N46" i="25" s="1"/>
  <c r="AI20" i="16"/>
  <c r="AI12" i="16"/>
  <c r="AI19" i="16"/>
  <c r="AI15" i="16"/>
  <c r="N44" i="25" s="1"/>
  <c r="AI11" i="16"/>
  <c r="P40" i="16"/>
  <c r="P50" i="16"/>
  <c r="G13" i="16"/>
  <c r="Q46" i="16"/>
  <c r="J41" i="25" s="1"/>
  <c r="Q55" i="16"/>
  <c r="J47" i="25" s="1"/>
  <c r="Q52" i="16"/>
  <c r="J44" i="25" s="1"/>
  <c r="Q48" i="16"/>
  <c r="Q56" i="16"/>
  <c r="Q54" i="16"/>
  <c r="J46" i="25" s="1"/>
  <c r="Q47" i="16"/>
  <c r="J42" i="25" s="1"/>
  <c r="Q57" i="16"/>
  <c r="Q53" i="16"/>
  <c r="J45" i="25" s="1"/>
  <c r="Q49" i="16"/>
  <c r="P32" i="16"/>
  <c r="Q38" i="16"/>
  <c r="Q29" i="16"/>
  <c r="I42" i="25" s="1"/>
  <c r="Q34" i="16"/>
  <c r="I44" i="25" s="1"/>
  <c r="Q35" i="16"/>
  <c r="I45" i="25" s="1"/>
  <c r="Q37" i="16"/>
  <c r="I47" i="25" s="1"/>
  <c r="Q31" i="16"/>
  <c r="Q36" i="16"/>
  <c r="I46" i="25" s="1"/>
  <c r="Q28" i="16"/>
  <c r="I41" i="25" s="1"/>
  <c r="Q30" i="16"/>
  <c r="Q39" i="16"/>
  <c r="Y21" i="16"/>
  <c r="BK21" i="17"/>
  <c r="AH50" i="16"/>
  <c r="AH58" i="16"/>
  <c r="AH32" i="16"/>
  <c r="AG22" i="17"/>
  <c r="G40" i="16"/>
  <c r="G58" i="16"/>
  <c r="Y58" i="16"/>
  <c r="G32" i="16"/>
  <c r="E40" i="16"/>
  <c r="AH21" i="16"/>
  <c r="Y50" i="16"/>
  <c r="AF58" i="16"/>
  <c r="BQ21" i="17"/>
  <c r="BQ19" i="17"/>
  <c r="BQ20" i="17"/>
  <c r="BQ18" i="17"/>
  <c r="BQ17" i="17"/>
  <c r="L19" i="17"/>
  <c r="L20" i="17"/>
  <c r="L17" i="17"/>
  <c r="L21" i="17"/>
  <c r="L18" i="17"/>
  <c r="BN20" i="17"/>
  <c r="BN18" i="17"/>
  <c r="BN21" i="17"/>
  <c r="BN19" i="17"/>
  <c r="BN17" i="17"/>
  <c r="N50" i="16"/>
  <c r="AF13" i="16"/>
  <c r="AA17" i="17"/>
  <c r="AA20" i="17"/>
  <c r="AA21" i="17"/>
  <c r="AA18" i="17"/>
  <c r="AA19" i="17"/>
  <c r="Y13" i="16"/>
  <c r="AD19" i="17"/>
  <c r="AD18" i="17"/>
  <c r="AD21" i="17"/>
  <c r="AD17" i="17"/>
  <c r="AD20" i="17"/>
  <c r="BQ13" i="17"/>
  <c r="BQ12" i="17"/>
  <c r="BQ11" i="17"/>
  <c r="AV18" i="17"/>
  <c r="AV17" i="17"/>
  <c r="AV20" i="17"/>
  <c r="AV19" i="17"/>
  <c r="AV21" i="17"/>
  <c r="AG13" i="17"/>
  <c r="AG11" i="17"/>
  <c r="AG12" i="17"/>
  <c r="BQ16" i="17"/>
  <c r="AS17" i="17"/>
  <c r="AS21" i="17"/>
  <c r="AS20" i="17"/>
  <c r="AS18" i="17"/>
  <c r="AS19" i="17"/>
  <c r="L16" i="17"/>
  <c r="BN16" i="17"/>
  <c r="N40" i="16"/>
  <c r="Y40" i="16"/>
  <c r="W40" i="16"/>
  <c r="AH40" i="16"/>
  <c r="AF40" i="16"/>
  <c r="AF21" i="16"/>
  <c r="W21" i="16"/>
  <c r="E32" i="16"/>
  <c r="AF50" i="16"/>
  <c r="W32" i="16"/>
  <c r="AH13" i="16"/>
  <c r="W50" i="16"/>
  <c r="P13" i="16"/>
  <c r="E21" i="16"/>
  <c r="N58" i="16"/>
  <c r="AG26" i="17"/>
  <c r="AG28" i="17" s="1"/>
  <c r="L26" i="17"/>
  <c r="AS31" i="17"/>
  <c r="AS33" i="17" s="1"/>
  <c r="BN26" i="17"/>
  <c r="BN28" i="17" s="1"/>
  <c r="AS26" i="17"/>
  <c r="AS28" i="17" s="1"/>
  <c r="AA31" i="17"/>
  <c r="AA33" i="17" s="1"/>
  <c r="AY31" i="17"/>
  <c r="AY33" i="17" s="1"/>
  <c r="BK32" i="17"/>
  <c r="BK33" i="17" s="1"/>
  <c r="AD31" i="17"/>
  <c r="AD33" i="17" s="1"/>
  <c r="AV31" i="17"/>
  <c r="AV33" i="17" s="1"/>
  <c r="BN31" i="17"/>
  <c r="BN33" i="17" s="1"/>
  <c r="BQ31" i="17"/>
  <c r="BQ33" i="17" s="1"/>
  <c r="BK26" i="17"/>
  <c r="BK28" i="17" s="1"/>
  <c r="L26" i="10"/>
  <c r="M38" i="10"/>
  <c r="AY27" i="17"/>
  <c r="AY28" i="17" s="1"/>
  <c r="BQ27" i="17"/>
  <c r="BQ28" i="17" s="1"/>
  <c r="I27" i="17"/>
  <c r="I28" i="17" s="1"/>
  <c r="O31" i="17"/>
  <c r="O33" i="17" s="1"/>
  <c r="I31" i="17"/>
  <c r="I33" i="17" s="1"/>
  <c r="AD27" i="17"/>
  <c r="AD28" i="17" s="1"/>
  <c r="N32" i="16"/>
  <c r="E58" i="16"/>
  <c r="W13" i="16"/>
  <c r="W58" i="16"/>
  <c r="AF32" i="16"/>
  <c r="N13" i="16"/>
  <c r="E13" i="16"/>
  <c r="H29" i="10"/>
  <c r="D14" i="10"/>
  <c r="D20" i="10"/>
  <c r="E11" i="10"/>
  <c r="J19" i="9"/>
  <c r="H15" i="10"/>
  <c r="D19" i="7"/>
  <c r="I5" i="10"/>
  <c r="D23" i="7"/>
  <c r="L5" i="10"/>
  <c r="D15" i="7"/>
  <c r="D94" i="23" l="1"/>
  <c r="AA26" i="17"/>
  <c r="AA28" i="17" s="1"/>
  <c r="E94" i="23"/>
  <c r="AV27" i="17"/>
  <c r="AV28" i="17" s="1"/>
  <c r="I74" i="23"/>
  <c r="I83" i="23" s="1"/>
  <c r="B20" i="28" s="1"/>
  <c r="G83" i="23"/>
  <c r="I75" i="23"/>
  <c r="H83" i="23"/>
  <c r="P48" i="25"/>
  <c r="P49" i="25" s="1"/>
  <c r="AI50" i="16"/>
  <c r="I94" i="23"/>
  <c r="AI58" i="16"/>
  <c r="O22" i="17"/>
  <c r="I95" i="23"/>
  <c r="F37" i="27"/>
  <c r="I22" i="17"/>
  <c r="I96" i="23"/>
  <c r="AY22" i="17"/>
  <c r="D41" i="20"/>
  <c r="D50" i="20" s="1"/>
  <c r="H42" i="20"/>
  <c r="H51" i="20" s="1"/>
  <c r="H44" i="20"/>
  <c r="H53" i="20" s="1"/>
  <c r="I41" i="20"/>
  <c r="I50" i="20" s="1"/>
  <c r="I42" i="20"/>
  <c r="I51" i="20" s="1"/>
  <c r="I44" i="20"/>
  <c r="I53" i="20" s="1"/>
  <c r="C45" i="20"/>
  <c r="C54" i="20" s="1"/>
  <c r="C42" i="20"/>
  <c r="C51" i="20" s="1"/>
  <c r="F41" i="20"/>
  <c r="F50" i="20" s="1"/>
  <c r="C43" i="20"/>
  <c r="C52" i="20" s="1"/>
  <c r="D43" i="20"/>
  <c r="D52" i="20" s="1"/>
  <c r="D45" i="20"/>
  <c r="D54" i="20" s="1"/>
  <c r="F45" i="20"/>
  <c r="F54" i="20" s="1"/>
  <c r="I45" i="20"/>
  <c r="I54" i="20" s="1"/>
  <c r="C44" i="20"/>
  <c r="C53" i="20" s="1"/>
  <c r="B41" i="20"/>
  <c r="B50" i="20" s="1"/>
  <c r="D44" i="20"/>
  <c r="D53" i="20" s="1"/>
  <c r="G41" i="20"/>
  <c r="G50" i="20" s="1"/>
  <c r="G42" i="20"/>
  <c r="G51" i="20" s="1"/>
  <c r="H41" i="20"/>
  <c r="H50" i="20" s="1"/>
  <c r="F43" i="20"/>
  <c r="F52" i="20" s="1"/>
  <c r="G43" i="20"/>
  <c r="G52" i="20" s="1"/>
  <c r="G45" i="20"/>
  <c r="G54" i="20" s="1"/>
  <c r="H43" i="20"/>
  <c r="H52" i="20" s="1"/>
  <c r="H45" i="20"/>
  <c r="H54" i="20" s="1"/>
  <c r="I43" i="20"/>
  <c r="I52" i="20" s="1"/>
  <c r="C41" i="20"/>
  <c r="C50" i="20" s="1"/>
  <c r="D42" i="20"/>
  <c r="D51" i="20" s="1"/>
  <c r="F42" i="20"/>
  <c r="F51" i="20" s="1"/>
  <c r="F44" i="20"/>
  <c r="F53" i="20" s="1"/>
  <c r="G44" i="20"/>
  <c r="G53" i="20" s="1"/>
  <c r="B11" i="34"/>
  <c r="B12" i="34" s="1"/>
  <c r="B13" i="34" s="1"/>
  <c r="B14" i="33"/>
  <c r="E45" i="20"/>
  <c r="E54" i="20" s="1"/>
  <c r="E42" i="20"/>
  <c r="E51" i="20" s="1"/>
  <c r="E44" i="20"/>
  <c r="E53" i="20" s="1"/>
  <c r="E41" i="20"/>
  <c r="E50" i="20" s="1"/>
  <c r="E43" i="20"/>
  <c r="E52" i="20" s="1"/>
  <c r="B44" i="20"/>
  <c r="B53" i="20" s="1"/>
  <c r="B43" i="20"/>
  <c r="B52" i="20" s="1"/>
  <c r="B42" i="20"/>
  <c r="B51" i="20" s="1"/>
  <c r="B45" i="20"/>
  <c r="B54" i="20" s="1"/>
  <c r="I63" i="23"/>
  <c r="B19" i="28" s="1"/>
  <c r="L14" i="17"/>
  <c r="Q112" i="16"/>
  <c r="H94" i="16"/>
  <c r="H95" i="16" s="1"/>
  <c r="Q104" i="16"/>
  <c r="H112" i="16"/>
  <c r="H113" i="16" s="1"/>
  <c r="AV14" i="17"/>
  <c r="I14" i="17"/>
  <c r="AA14" i="17"/>
  <c r="O14" i="17"/>
  <c r="N48" i="25"/>
  <c r="L48" i="25"/>
  <c r="J48" i="25"/>
  <c r="E48" i="25"/>
  <c r="AS14" i="17"/>
  <c r="O28" i="17"/>
  <c r="H48" i="25"/>
  <c r="O48" i="25"/>
  <c r="E43" i="25"/>
  <c r="O43" i="25"/>
  <c r="R45" i="25"/>
  <c r="C45" i="25"/>
  <c r="Q45" i="25"/>
  <c r="L43" i="25"/>
  <c r="C44" i="25"/>
  <c r="Q44" i="25"/>
  <c r="R44" i="25"/>
  <c r="G48" i="25"/>
  <c r="Q47" i="25"/>
  <c r="C47" i="25"/>
  <c r="R47" i="25"/>
  <c r="K43" i="25"/>
  <c r="F43" i="25"/>
  <c r="AY14" i="17"/>
  <c r="F48" i="25"/>
  <c r="Q46" i="25"/>
  <c r="R46" i="25"/>
  <c r="C46" i="25"/>
  <c r="M43" i="25"/>
  <c r="G43" i="25"/>
  <c r="R42" i="25"/>
  <c r="C42" i="25"/>
  <c r="Q42" i="25"/>
  <c r="Q41" i="25"/>
  <c r="R41" i="25"/>
  <c r="C41" i="25"/>
  <c r="I43" i="25"/>
  <c r="I48" i="25"/>
  <c r="J43" i="25"/>
  <c r="N43" i="25"/>
  <c r="K48" i="25"/>
  <c r="M48" i="25"/>
  <c r="H43" i="25"/>
  <c r="I129" i="23"/>
  <c r="D143" i="23"/>
  <c r="I123" i="23"/>
  <c r="B22" i="28" s="1"/>
  <c r="H103" i="23"/>
  <c r="F103" i="23"/>
  <c r="E103" i="23"/>
  <c r="D103" i="23"/>
  <c r="G103" i="23"/>
  <c r="I128" i="23"/>
  <c r="L28" i="17"/>
  <c r="I89" i="23"/>
  <c r="BK14" i="17"/>
  <c r="I91" i="23"/>
  <c r="I92" i="23"/>
  <c r="I93" i="23"/>
  <c r="BN14" i="17"/>
  <c r="I90" i="23"/>
  <c r="I88" i="23"/>
  <c r="BK22" i="17"/>
  <c r="Z58" i="16"/>
  <c r="Q32" i="16"/>
  <c r="H40" i="16"/>
  <c r="Q50" i="16"/>
  <c r="Z13" i="16"/>
  <c r="Q21" i="16"/>
  <c r="H50" i="16"/>
  <c r="Q40" i="16"/>
  <c r="H32" i="16"/>
  <c r="AI40" i="16"/>
  <c r="Q13" i="16"/>
  <c r="Z21" i="16"/>
  <c r="AI32" i="16"/>
  <c r="Z40" i="16"/>
  <c r="Z32" i="16"/>
  <c r="Q58" i="16"/>
  <c r="AI13" i="16"/>
  <c r="Z50" i="16"/>
  <c r="H58" i="16"/>
  <c r="AI21" i="16"/>
  <c r="BQ14" i="17"/>
  <c r="AG14" i="17"/>
  <c r="AD22" i="17"/>
  <c r="AV22" i="17"/>
  <c r="AS22" i="17"/>
  <c r="AA22" i="17"/>
  <c r="BQ22" i="17"/>
  <c r="BN22" i="17"/>
  <c r="L22" i="17"/>
  <c r="H13" i="16"/>
  <c r="H21" i="16"/>
  <c r="AI59" i="16" l="1"/>
  <c r="B15" i="33"/>
  <c r="B16" i="33" s="1"/>
  <c r="E55" i="20"/>
  <c r="Q113" i="16"/>
  <c r="E46" i="20"/>
  <c r="C46" i="20"/>
  <c r="C55" i="20"/>
  <c r="J41" i="20"/>
  <c r="F55" i="20"/>
  <c r="J42" i="20"/>
  <c r="F46" i="20"/>
  <c r="J51" i="20"/>
  <c r="B46" i="20"/>
  <c r="J43" i="20"/>
  <c r="G46" i="20"/>
  <c r="D55" i="20"/>
  <c r="J53" i="20"/>
  <c r="J54" i="20"/>
  <c r="H46" i="20"/>
  <c r="J45" i="20"/>
  <c r="H55" i="20"/>
  <c r="I46" i="20"/>
  <c r="D46" i="20"/>
  <c r="G55" i="20"/>
  <c r="J44" i="20"/>
  <c r="J52" i="20"/>
  <c r="I55" i="20"/>
  <c r="J49" i="25"/>
  <c r="G49" i="25"/>
  <c r="K49" i="25"/>
  <c r="E49" i="25"/>
  <c r="N49" i="25"/>
  <c r="O49" i="25"/>
  <c r="H49" i="25"/>
  <c r="L49" i="25"/>
  <c r="M49" i="25"/>
  <c r="D41" i="25"/>
  <c r="F49" i="25"/>
  <c r="Q43" i="25"/>
  <c r="R48" i="25"/>
  <c r="D42" i="25"/>
  <c r="C48" i="25"/>
  <c r="I49" i="25"/>
  <c r="Q48" i="25"/>
  <c r="R43" i="25"/>
  <c r="C43" i="25"/>
  <c r="D45" i="25"/>
  <c r="D46" i="25"/>
  <c r="D47" i="25"/>
  <c r="D44" i="25"/>
  <c r="I143" i="23"/>
  <c r="B23" i="28" s="1"/>
  <c r="B21" i="28"/>
  <c r="B25" i="28" s="1"/>
  <c r="I103" i="23"/>
  <c r="AI41" i="16"/>
  <c r="Z59" i="16"/>
  <c r="Z22" i="16"/>
  <c r="Q41" i="16"/>
  <c r="Q59" i="16"/>
  <c r="Z41" i="16"/>
  <c r="Q22" i="16"/>
  <c r="H41" i="16"/>
  <c r="AI22" i="16"/>
  <c r="H59" i="16"/>
  <c r="H22" i="16"/>
  <c r="B24" i="28" l="1"/>
  <c r="J50" i="20"/>
  <c r="J55" i="20" s="1"/>
  <c r="B11" i="28" s="1"/>
  <c r="B55" i="20"/>
  <c r="J46" i="20"/>
  <c r="B10" i="28" s="1"/>
  <c r="D48" i="25"/>
  <c r="D43" i="25"/>
  <c r="C49" i="25"/>
  <c r="B12" i="28" l="1"/>
  <c r="B16" i="28" s="1"/>
  <c r="BT28"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Diana Bilbao</author>
  </authors>
  <commentList>
    <comment ref="B6" authorId="0" shapeId="0" xr:uid="{76041574-87A5-4D9A-BDEB-83AD3D1D4FCC}">
      <text>
        <r>
          <rPr>
            <b/>
            <sz val="9"/>
            <color indexed="81"/>
            <rFont val="Tahoma"/>
            <family val="2"/>
          </rPr>
          <t>Diana Bilbao:</t>
        </r>
        <r>
          <rPr>
            <sz val="9"/>
            <color indexed="81"/>
            <rFont val="Tahoma"/>
            <family val="2"/>
          </rPr>
          <t xml:space="preserve">
To adjust, go to Assumptions tab</t>
        </r>
      </text>
    </comment>
    <comment ref="G10" authorId="0" shapeId="0" xr:uid="{CDD2D7AE-E619-42C8-8AB3-B6948619788B}">
      <text>
        <r>
          <rPr>
            <b/>
            <sz val="9"/>
            <color indexed="81"/>
            <rFont val="Tahoma"/>
            <family val="2"/>
          </rPr>
          <t xml:space="preserve">Diana Bilbao:
</t>
        </r>
        <r>
          <rPr>
            <sz val="9"/>
            <color indexed="81"/>
            <rFont val="Tahoma"/>
            <family val="2"/>
          </rPr>
          <t>Multipliers can be adjusted in Coverage Units by State Size tab</t>
        </r>
      </text>
    </comment>
    <comment ref="B13" authorId="0" shapeId="0" xr:uid="{C8D32A2E-731B-43A7-84C3-5411B9B87F2B}">
      <text>
        <r>
          <rPr>
            <b/>
            <sz val="9"/>
            <color indexed="81"/>
            <rFont val="Tahoma"/>
            <family val="2"/>
          </rPr>
          <t>Diana Bilbao:</t>
        </r>
        <r>
          <rPr>
            <sz val="9"/>
            <color indexed="81"/>
            <rFont val="Tahoma"/>
            <family val="2"/>
          </rPr>
          <t xml:space="preserve">
Does not multiply by 7 - education only.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Diana Bilbao</author>
  </authors>
  <commentList>
    <comment ref="B26" authorId="0" shapeId="0" xr:uid="{275B90D9-F0DC-4324-BA26-6AE0E00E4985}">
      <text>
        <r>
          <rPr>
            <b/>
            <sz val="9"/>
            <color indexed="81"/>
            <rFont val="Tahoma"/>
            <family val="2"/>
          </rPr>
          <t>Diana Bilbao:</t>
        </r>
        <r>
          <rPr>
            <sz val="9"/>
            <color indexed="81"/>
            <rFont val="Tahoma"/>
            <family val="2"/>
          </rPr>
          <t xml:space="preserve">
Per Tony Bowen at FMA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Diana Bilbao</author>
  </authors>
  <commentList>
    <comment ref="D7" authorId="0" shapeId="0" xr:uid="{35D0D3C3-EBEE-4F3C-A982-C12187F39B10}">
      <text>
        <r>
          <rPr>
            <b/>
            <sz val="9"/>
            <color indexed="81"/>
            <rFont val="Tahoma"/>
            <family val="2"/>
          </rPr>
          <t>Diana Bilbao:</t>
        </r>
        <r>
          <rPr>
            <sz val="9"/>
            <color indexed="81"/>
            <rFont val="Tahoma"/>
            <family val="2"/>
          </rPr>
          <t xml:space="preserve">
Multipliers based on Elizabeth Green's range of education journalists per state house by state size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Diana Bilbao</author>
  </authors>
  <commentList>
    <comment ref="E23" authorId="0" shapeId="0" xr:uid="{79DE3DAA-6DB1-43AD-8FF6-54F4C5C1744A}">
      <text>
        <r>
          <rPr>
            <b/>
            <sz val="9"/>
            <color indexed="81"/>
            <rFont val="Tahoma"/>
            <family val="2"/>
          </rPr>
          <t>Diana Bilbao:</t>
        </r>
        <r>
          <rPr>
            <sz val="9"/>
            <color indexed="81"/>
            <rFont val="Tahoma"/>
            <family val="2"/>
          </rPr>
          <t xml:space="preserve">
Per Project Oasis/LION Report</t>
        </r>
      </text>
    </comment>
    <comment ref="E33" authorId="0" shapeId="0" xr:uid="{73221AFD-AD03-4618-93F6-AEF5F752FA16}">
      <text>
        <r>
          <rPr>
            <b/>
            <sz val="9"/>
            <color indexed="81"/>
            <rFont val="Tahoma"/>
            <family val="2"/>
          </rPr>
          <t>Diana Bilbao:</t>
        </r>
        <r>
          <rPr>
            <sz val="9"/>
            <color indexed="81"/>
            <rFont val="Tahoma"/>
            <family val="2"/>
          </rPr>
          <t xml:space="preserve">
Per Project Oasis/LION report</t>
        </r>
      </text>
    </comment>
  </commentList>
</comments>
</file>

<file path=xl/sharedStrings.xml><?xml version="1.0" encoding="utf-8"?>
<sst xmlns="http://schemas.openxmlformats.org/spreadsheetml/2006/main" count="6313" uniqueCount="943">
  <si>
    <t>Democracy Fund</t>
  </si>
  <si>
    <t>DRAFT - For Discussion Purposes Only</t>
  </si>
  <si>
    <t>Journalism Ecosystem Model</t>
  </si>
  <si>
    <t>April 2021</t>
  </si>
  <si>
    <t>Projected Philanthropic Investment - 5 Years</t>
  </si>
  <si>
    <t>DESIRED PHILANTHROPY BREAKDOWN (%)</t>
  </si>
  <si>
    <t>National</t>
  </si>
  <si>
    <t>Local</t>
  </si>
  <si>
    <t>Startup - Year 1</t>
  </si>
  <si>
    <t>Sustaining - Year 2</t>
  </si>
  <si>
    <t>Sustaining - Year 3</t>
  </si>
  <si>
    <t>Sustaining - Year 4</t>
  </si>
  <si>
    <t>Growth - Year 5</t>
  </si>
  <si>
    <t>PHILANTHROPIC INVESTMENT NEEDED BY YEAR</t>
  </si>
  <si>
    <t>Year 1</t>
  </si>
  <si>
    <t>Year 2</t>
  </si>
  <si>
    <t>Year 3</t>
  </si>
  <si>
    <t>Year 4</t>
  </si>
  <si>
    <t>Year 5</t>
  </si>
  <si>
    <t>National Philanthropy</t>
  </si>
  <si>
    <t>Local Philanthropy</t>
  </si>
  <si>
    <r>
      <t xml:space="preserve">All numbers in </t>
    </r>
    <r>
      <rPr>
        <b/>
        <sz val="9"/>
        <color rgb="FF0070C0"/>
        <rFont val="Calibri"/>
        <family val="2"/>
        <scheme val="minor"/>
      </rPr>
      <t>BLUE</t>
    </r>
    <r>
      <rPr>
        <b/>
        <sz val="9"/>
        <color theme="1"/>
        <rFont val="Calibri"/>
        <family val="2"/>
        <scheme val="minor"/>
      </rPr>
      <t xml:space="preserve"> are hardcodes - these can be adjusted as desired.</t>
    </r>
  </si>
  <si>
    <r>
      <t xml:space="preserve">Tabs where inputs can be made are coded in </t>
    </r>
    <r>
      <rPr>
        <b/>
        <sz val="9"/>
        <color theme="4"/>
        <rFont val="Calibri"/>
        <family val="2"/>
        <scheme val="minor"/>
      </rPr>
      <t>BLUE</t>
    </r>
    <r>
      <rPr>
        <b/>
        <sz val="9"/>
        <color theme="1"/>
        <rFont val="Calibri"/>
        <family val="2"/>
        <scheme val="minor"/>
      </rPr>
      <t>:</t>
    </r>
  </si>
  <si>
    <t>TAB</t>
  </si>
  <si>
    <t>INPUT FIELDS</t>
  </si>
  <si>
    <t>Assumptions</t>
  </si>
  <si>
    <t>By Journalist</t>
  </si>
  <si>
    <t>By Org Type - State Local</t>
  </si>
  <si>
    <t>By Org Type - Regional National</t>
  </si>
  <si>
    <t>SUMMARY</t>
  </si>
  <si>
    <r>
      <t xml:space="preserve">Tabs in </t>
    </r>
    <r>
      <rPr>
        <b/>
        <sz val="9"/>
        <color theme="5" tint="-0.249977111117893"/>
        <rFont val="Calibri"/>
        <family val="2"/>
        <scheme val="minor"/>
      </rPr>
      <t>ORANGE</t>
    </r>
    <r>
      <rPr>
        <b/>
        <sz val="9"/>
        <color theme="1"/>
        <rFont val="Calibri"/>
        <family val="2"/>
        <scheme val="minor"/>
      </rPr>
      <t xml:space="preserve"> hold the underlying data</t>
    </r>
  </si>
  <si>
    <r>
      <t xml:space="preserve">Tabs in </t>
    </r>
    <r>
      <rPr>
        <b/>
        <sz val="9"/>
        <color theme="7"/>
        <rFont val="Calibri"/>
        <family val="2"/>
        <scheme val="minor"/>
      </rPr>
      <t>YELLOW</t>
    </r>
    <r>
      <rPr>
        <b/>
        <sz val="9"/>
        <color theme="1"/>
        <rFont val="Calibri"/>
        <family val="2"/>
        <scheme val="minor"/>
      </rPr>
      <t xml:space="preserve"> contain rollups of the data, calculations, and categorizations</t>
    </r>
  </si>
  <si>
    <t>Summary</t>
  </si>
  <si>
    <t>Desired Philanthropic Coverage</t>
  </si>
  <si>
    <t>ESTIMATES BASED ON # OF JOURNALISTS</t>
  </si>
  <si>
    <t>Annual Editorial Expenses</t>
  </si>
  <si>
    <t>Annual Non-Editorial Expenses</t>
  </si>
  <si>
    <t>Total Annual Expenses</t>
  </si>
  <si>
    <t>Editorial Staff</t>
  </si>
  <si>
    <t>Non-Editorial Staff</t>
  </si>
  <si>
    <t>Total Staff</t>
  </si>
  <si>
    <t>Annual Philanthropic Investment</t>
  </si>
  <si>
    <t>ESTIMATES BASED ON ORG TYPE</t>
  </si>
  <si>
    <t>Coverage by Number of Journalists</t>
  </si>
  <si>
    <t>Demographic Coverage Areas</t>
  </si>
  <si>
    <t>MINIMUM DESIRED EDITORIAL STAFF</t>
  </si>
  <si>
    <t>Coverage Unit</t>
  </si>
  <si>
    <t>Per Government Funding Area</t>
  </si>
  <si>
    <t>Per Demographic Coverage Area</t>
  </si>
  <si>
    <t>100,000 people</t>
  </si>
  <si>
    <t>Congressional District</t>
  </si>
  <si>
    <t>School System</t>
  </si>
  <si>
    <t>Special District</t>
  </si>
  <si>
    <t>Township Government</t>
  </si>
  <si>
    <t>Municipal Government</t>
  </si>
  <si>
    <t>County Government</t>
  </si>
  <si>
    <t>State House</t>
  </si>
  <si>
    <t>EDITORIAL STAFF NEEDED</t>
  </si>
  <si>
    <t>State Size</t>
  </si>
  <si>
    <t>100,000 People</t>
  </si>
  <si>
    <t>TOTAL</t>
  </si>
  <si>
    <t>Extra Small</t>
  </si>
  <si>
    <t>Small</t>
  </si>
  <si>
    <t>Medium</t>
  </si>
  <si>
    <t>Large</t>
  </si>
  <si>
    <t>Extra Large</t>
  </si>
  <si>
    <t>NON-EDITORIAL STAFF NEEDED</t>
  </si>
  <si>
    <t>ANNUAL EDITORIAL EXPENSES</t>
  </si>
  <si>
    <t>ANNUAL NON-EDITORIAL EXPENSES</t>
  </si>
  <si>
    <t>MINIMUM OF EACH ORG IN USA</t>
  </si>
  <si>
    <t xml:space="preserve"> </t>
  </si>
  <si>
    <t>Hub: Back Office</t>
  </si>
  <si>
    <t>Hub: Back Office/Shared Reporting</t>
  </si>
  <si>
    <t>Coverage by Types of Orgs - State, Local, Hyper-local</t>
  </si>
  <si>
    <t>Scope</t>
  </si>
  <si>
    <t>Focus/Cadence</t>
  </si>
  <si>
    <t>Hyper-local</t>
  </si>
  <si>
    <t>General</t>
  </si>
  <si>
    <t>Multiple Related Topics</t>
  </si>
  <si>
    <t>Single-Topic</t>
  </si>
  <si>
    <t>Explanatory &amp; Analysis</t>
  </si>
  <si>
    <t>Investigative</t>
  </si>
  <si>
    <t>Current News &amp; Events</t>
  </si>
  <si>
    <t>State</t>
  </si>
  <si>
    <t>Public Radio</t>
  </si>
  <si>
    <t>NUMBER OF ORGS NEEDED</t>
  </si>
  <si>
    <t>Focus</t>
  </si>
  <si>
    <t>TOTAL ANNUAL EXPENSES</t>
  </si>
  <si>
    <t>EDITORIAL STAFF</t>
  </si>
  <si>
    <t>NON-EDITORIAL STAFF</t>
  </si>
  <si>
    <t>State Coverage Unit &amp; Philanthropy Analysis</t>
  </si>
  <si>
    <t>GOVERNMENT COVERAGE AREAS</t>
  </si>
  <si>
    <t>Community Services</t>
  </si>
  <si>
    <t>Criminal Justice</t>
  </si>
  <si>
    <t>Education</t>
  </si>
  <si>
    <t>Elections</t>
  </si>
  <si>
    <t>Environment</t>
  </si>
  <si>
    <t>Healthcare</t>
  </si>
  <si>
    <t>Infrastructure</t>
  </si>
  <si>
    <t>DEMOGRAPHIC COVERAGE AREAS</t>
  </si>
  <si>
    <t>Women</t>
  </si>
  <si>
    <t>AAPI</t>
  </si>
  <si>
    <t>Black/African-American</t>
  </si>
  <si>
    <t>Indigenous</t>
  </si>
  <si>
    <t>Latinx/Hispanic</t>
  </si>
  <si>
    <t>LGBTQIA+</t>
  </si>
  <si>
    <t>RATE ASSUMPTIONS</t>
  </si>
  <si>
    <t>Indirect Rate</t>
  </si>
  <si>
    <t>Benefits Rate</t>
  </si>
  <si>
    <t>Failure Rate</t>
  </si>
  <si>
    <t>Inflation Rate</t>
  </si>
  <si>
    <t>EXPENSE/PERSONNEL RATIO</t>
  </si>
  <si>
    <t>Editorial</t>
  </si>
  <si>
    <t>Non-Editorial</t>
  </si>
  <si>
    <t>EXPENSE PER STAFF</t>
  </si>
  <si>
    <t>DESIRED REVENUE SPLIT</t>
  </si>
  <si>
    <t>Goal</t>
  </si>
  <si>
    <t>INN Average</t>
  </si>
  <si>
    <t>INN Range</t>
  </si>
  <si>
    <t>INN Averages 2021</t>
  </si>
  <si>
    <t>Local: General</t>
  </si>
  <si>
    <t>Local: Multiple Related Topics</t>
  </si>
  <si>
    <t>Local: Single-Topic</t>
  </si>
  <si>
    <t>State: General</t>
  </si>
  <si>
    <t>State: Multiple Related Topics</t>
  </si>
  <si>
    <t>State: Single-Topic</t>
  </si>
  <si>
    <t>Regional: General</t>
  </si>
  <si>
    <t>Regional: Multiple Related Topics</t>
  </si>
  <si>
    <t>Regional: Single-Topic</t>
  </si>
  <si>
    <t>National: General</t>
  </si>
  <si>
    <t>National: Multiple Related Topics</t>
  </si>
  <si>
    <t>National: Single-Topic</t>
  </si>
  <si>
    <t>Min.</t>
  </si>
  <si>
    <t>Max.</t>
  </si>
  <si>
    <t>Foundations</t>
  </si>
  <si>
    <t>Memberships</t>
  </si>
  <si>
    <t>Individual Donations &amp; Other Cont.</t>
  </si>
  <si>
    <t>Advertising</t>
  </si>
  <si>
    <t>Sponsorships/Underwriting</t>
  </si>
  <si>
    <t>Subscriptions</t>
  </si>
  <si>
    <t>Events</t>
  </si>
  <si>
    <t>Syndication &amp; Other Earned</t>
  </si>
  <si>
    <t>REPLANTING</t>
  </si>
  <si>
    <t>Time to Sustainability</t>
  </si>
  <si>
    <t>years</t>
  </si>
  <si>
    <t>Transaction costs per year</t>
  </si>
  <si>
    <t>STATE SIZE CLASSIFICATIONS</t>
  </si>
  <si>
    <t>Size Classification</t>
  </si>
  <si>
    <t>Population Range</t>
  </si>
  <si>
    <t>Multiplier</t>
  </si>
  <si>
    <t>&lt; 1,000,000</t>
  </si>
  <si>
    <t>1,000,000-4,999,999</t>
  </si>
  <si>
    <t>5,000,000-9,999,999</t>
  </si>
  <si>
    <t>10,000,000-19,999,999</t>
  </si>
  <si>
    <t>&gt; 20,000,000</t>
  </si>
  <si>
    <t>COVERAGE UNITS BY SIZE</t>
  </si>
  <si>
    <t>Population</t>
  </si>
  <si>
    <t>PHILANTHROPY BY SIZE</t>
  </si>
  <si>
    <t>Annual Foundation Giving</t>
  </si>
  <si>
    <t>Foundation Assets</t>
  </si>
  <si>
    <t>Number of Foundations</t>
  </si>
  <si>
    <t>State Data Rollup</t>
  </si>
  <si>
    <t>Size Tag</t>
  </si>
  <si>
    <t>School Systems</t>
  </si>
  <si>
    <t>Municipal Governments</t>
  </si>
  <si>
    <t>County Governments</t>
  </si>
  <si>
    <t>Special Districts</t>
  </si>
  <si>
    <t>Township Governments</t>
  </si>
  <si>
    <t>State Governments</t>
  </si>
  <si>
    <t>Congressional Districts</t>
  </si>
  <si>
    <t>Annual Foundation Giving (2015)</t>
  </si>
  <si>
    <t>Foundation Assets (2015)</t>
  </si>
  <si>
    <t># of Foundations (2015)</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</si>
  <si>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</si>
  <si>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</si>
  <si>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</si>
  <si>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</si>
  <si>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</si>
  <si>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</si>
  <si>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</si>
  <si>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</si>
  <si>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</si>
  <si>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</si>
  <si>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</si>
  <si>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</si>
  <si>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</si>
  <si>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</si>
  <si>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</si>
  <si>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</si>
  <si>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</si>
  <si>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</si>
  <si>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</si>
  <si>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</si>
  <si>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</si>
  <si>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</si>
  <si>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</si>
  <si>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</si>
  <si>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</si>
  <si>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</si>
  <si>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</si>
  <si>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</si>
  <si>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</si>
  <si>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</si>
  <si>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</si>
  <si>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</si>
  <si>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</si>
  <si>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</si>
  <si>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</si>
  <si>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</si>
  <si>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</si>
  <si>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</si>
  <si>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</si>
  <si>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</si>
  <si>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</si>
  <si>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</si>
  <si>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</si>
  <si>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</si>
  <si>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</si>
  <si>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</si>
  <si>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</si>
  <si>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</si>
  <si>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</si>
  <si>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</si>
  <si>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</si>
  <si>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TOTALS</t>
  </si>
  <si>
    <t>INN Data Comparison - 2021 vs. 2020</t>
  </si>
  <si>
    <t>Scope/Sub-Type</t>
  </si>
  <si>
    <t>Sample Size</t>
  </si>
  <si>
    <t>Contributed Income %</t>
  </si>
  <si>
    <t>Earned Income %</t>
  </si>
  <si>
    <t>Contributed Income Avg.</t>
  </si>
  <si>
    <t>Earned Income Avg.</t>
  </si>
  <si>
    <t>Editorial Expenses %</t>
  </si>
  <si>
    <t>Non-Editorial Expenses %</t>
  </si>
  <si>
    <t>Avg. Editorial Expenses</t>
  </si>
  <si>
    <t>Avg. Non-Editorial Expenses</t>
  </si>
  <si>
    <t>FTE - Editorial %</t>
  </si>
  <si>
    <t>FTE - Non-Editorial %</t>
  </si>
  <si>
    <t>FTE - Editorial Avg.</t>
  </si>
  <si>
    <t>FTE - Non-Editorial Avg.</t>
  </si>
  <si>
    <t>Model News Orgs - Based on INN Data</t>
  </si>
  <si>
    <t>Public Radio: Small</t>
  </si>
  <si>
    <t>Public Radio: Medium</t>
  </si>
  <si>
    <t>Public Radio: Large</t>
  </si>
  <si>
    <t>(Limited data)</t>
  </si>
  <si>
    <t>INCOME</t>
  </si>
  <si>
    <t>Contributed</t>
  </si>
  <si>
    <t>Individual Donations</t>
  </si>
  <si>
    <t>Other</t>
  </si>
  <si>
    <t>TOTAL CONTRIBUTED</t>
  </si>
  <si>
    <t>Earned</t>
  </si>
  <si>
    <t>Syndication</t>
  </si>
  <si>
    <t>TOTAL EARNED</t>
  </si>
  <si>
    <t>TOTAL INCOME</t>
  </si>
  <si>
    <t>EXPENSES</t>
  </si>
  <si>
    <t>TOTAL EXPENSES</t>
  </si>
  <si>
    <t>STAFF</t>
  </si>
  <si>
    <t>TOTAL STAFF</t>
  </si>
  <si>
    <t>STATS</t>
  </si>
  <si>
    <t>Cost per Editorial Staff</t>
  </si>
  <si>
    <t>Cost per Non-Editorial Staff</t>
  </si>
  <si>
    <t>Non-Editorial Staff per Editorial Staff</t>
  </si>
  <si>
    <t>N/A</t>
  </si>
  <si>
    <t>ROLLUPS - INN Data - 2021</t>
  </si>
  <si>
    <t>TOTAL OUTLETS</t>
  </si>
  <si>
    <t>TOTAL LOCAL</t>
  </si>
  <si>
    <t>TOTAL STATE</t>
  </si>
  <si>
    <t>TOTAL REGIONAL</t>
  </si>
  <si>
    <t>TOTAL NATIONAL</t>
  </si>
  <si>
    <t>Total</t>
  </si>
  <si>
    <t xml:space="preserve">Pct. </t>
  </si>
  <si>
    <t>Average</t>
  </si>
  <si>
    <t>Contributed Income</t>
  </si>
  <si>
    <t>Earned Income</t>
  </si>
  <si>
    <t>Total Income</t>
  </si>
  <si>
    <t>Editorial Expenses</t>
  </si>
  <si>
    <t>Non-Editorial Expenses</t>
  </si>
  <si>
    <t>Total Expenses</t>
  </si>
  <si>
    <t>FTE - Editorial</t>
  </si>
  <si>
    <t>FTE - Non-Editorial</t>
  </si>
  <si>
    <t>Total FTE</t>
  </si>
  <si>
    <t>INN Analysis - Income Split - 2021</t>
  </si>
  <si>
    <t>Pct</t>
  </si>
  <si>
    <t>Avg.</t>
  </si>
  <si>
    <t>Avg. Pct.</t>
  </si>
  <si>
    <t>Pct. Of Total</t>
  </si>
  <si>
    <t>Local: Explanatory &amp; Analysis</t>
  </si>
  <si>
    <t>State: Explanatory &amp; Analysis</t>
  </si>
  <si>
    <t>Regional: Explanatory &amp; Analysis</t>
  </si>
  <si>
    <t>National: Explanatory &amp; Analysis</t>
  </si>
  <si>
    <t>Local: Investigative</t>
  </si>
  <si>
    <t>State: Investigative</t>
  </si>
  <si>
    <t>Regional: Investigative</t>
  </si>
  <si>
    <t>National: Investigative</t>
  </si>
  <si>
    <t>Local: Current News &amp; Events</t>
  </si>
  <si>
    <t>State: Current News &amp; Events</t>
  </si>
  <si>
    <t>Regional: Current News &amp; Events</t>
  </si>
  <si>
    <t>National: Current News &amp; Events</t>
  </si>
  <si>
    <t>ROLLUPS - INN Data - 2020</t>
  </si>
  <si>
    <t>Neon ID</t>
  </si>
  <si>
    <t>Launch Year</t>
  </si>
  <si>
    <t>Content Type</t>
  </si>
  <si>
    <t>Geographic Scope</t>
  </si>
  <si>
    <t>Sub-Type/Focus</t>
  </si>
  <si>
    <t>Scope/Sub-Type/Content Type</t>
  </si>
  <si>
    <t>Scope/Content Type</t>
  </si>
  <si>
    <t>Total Contributed Income</t>
  </si>
  <si>
    <t>Total Earned Income</t>
  </si>
  <si>
    <t>Cont. Income - Foundation</t>
  </si>
  <si>
    <t>Cont. Income - Membership</t>
  </si>
  <si>
    <t>Cont. Income - Small Donors</t>
  </si>
  <si>
    <t>Cont. Income - Med. Donors</t>
  </si>
  <si>
    <t>Cont. Income - Major Donors</t>
  </si>
  <si>
    <t>Cont. Income - Other</t>
  </si>
  <si>
    <t>Cont. Income - Other Desc.</t>
  </si>
  <si>
    <t>Earned Income - Advertising</t>
  </si>
  <si>
    <t>Earned Income - Sponsorships/Underwriting</t>
  </si>
  <si>
    <t>Earned Income - Events</t>
  </si>
  <si>
    <t>Earned Income - Subscriptions</t>
  </si>
  <si>
    <t>Earned Income - Syndication</t>
  </si>
  <si>
    <t>Earned Income - Other</t>
  </si>
  <si>
    <t>Earned Income - Other Desc.</t>
  </si>
  <si>
    <t>Expenses - Editorial</t>
  </si>
  <si>
    <t>Expenses - Non-Editorial</t>
  </si>
  <si>
    <t>Expenses - Revenue Generation</t>
  </si>
  <si>
    <t>Expenses - Tech</t>
  </si>
  <si>
    <t>Expenses - Admin</t>
  </si>
  <si>
    <t>Total FTE - Editorial</t>
  </si>
  <si>
    <t>FTE Salaried - Editorial</t>
  </si>
  <si>
    <t>FTE Contractors - Editorial</t>
  </si>
  <si>
    <t>Total FTE - Non-Editorial</t>
  </si>
  <si>
    <t>FTE Salaried - Non-Editorial</t>
  </si>
  <si>
    <t>FTE Contractors - Non-Editorial</t>
  </si>
  <si>
    <t>Primary Medium</t>
  </si>
  <si>
    <t>Medium 2</t>
  </si>
  <si>
    <t>Avg. Monthly Uniques</t>
  </si>
  <si>
    <t>Newsletter Subs</t>
  </si>
  <si>
    <t>Total Print Run</t>
  </si>
  <si>
    <t>Print Publications</t>
  </si>
  <si>
    <t>Print &amp; Digital</t>
  </si>
  <si>
    <t>Print newspaper,Other, please specify.</t>
  </si>
  <si>
    <t>Merchandise</t>
  </si>
  <si>
    <t>Digital</t>
  </si>
  <si>
    <t>Multimedia (3 or more platforms)</t>
  </si>
  <si>
    <t>Print newspaper,Podcast</t>
  </si>
  <si>
    <t>NewsMatch</t>
  </si>
  <si>
    <t>Other, please specify.</t>
  </si>
  <si>
    <t>Podcast</t>
  </si>
  <si>
    <t>Print newspaper</t>
  </si>
  <si>
    <t>Podcast,Other, please specify.</t>
  </si>
  <si>
    <t>Radio,Podcast</t>
  </si>
  <si>
    <t>Digital,Print newspaper,Radio,Podcast</t>
  </si>
  <si>
    <t>Digital,Podcast</t>
  </si>
  <si>
    <t>Print newspaper,Print magazine,Radio,Podcast</t>
  </si>
  <si>
    <t>Print magazine,Radio,Podcast,Other, please specify.</t>
  </si>
  <si>
    <t>Print magazine,Radio,Podcast</t>
  </si>
  <si>
    <t>Print magazine,Other, please specify.</t>
  </si>
  <si>
    <t>Radio,Other, please specify.</t>
  </si>
  <si>
    <t>Digital,Print newspaper</t>
  </si>
  <si>
    <t>Digital,Other, please specify.</t>
  </si>
  <si>
    <t>Print newspaper,Podcast,Other, please specify.</t>
  </si>
  <si>
    <t>Television,Radio</t>
  </si>
  <si>
    <t>Print newspaper,Radio</t>
  </si>
  <si>
    <t>Digital,Print newspaper,Radio</t>
  </si>
  <si>
    <t>Print magazine,Television,Radio,Podcast</t>
  </si>
  <si>
    <t>Print magazine</t>
  </si>
  <si>
    <t>Print newspaper,Print magazine,Television,Radio,Podcast</t>
  </si>
  <si>
    <t>Television,Radio,Other, please specify.</t>
  </si>
  <si>
    <t>Digital,Podcast,Other, please specify.</t>
  </si>
  <si>
    <t>Royalties</t>
  </si>
  <si>
    <t>Digital,Radio</t>
  </si>
  <si>
    <t>Radio</t>
  </si>
  <si>
    <t>Print magazine,Podcast</t>
  </si>
  <si>
    <t>Radio/Podcast</t>
  </si>
  <si>
    <t>Print newspaper,Television,Radio,Other, please specify.</t>
  </si>
  <si>
    <t>Print newspaper,Television,Radio</t>
  </si>
  <si>
    <t>Digital,Television,Podcast</t>
  </si>
  <si>
    <t>Print newspaper,Print magazine,Television,Radio</t>
  </si>
  <si>
    <t>Regional</t>
  </si>
  <si>
    <t>TV</t>
  </si>
  <si>
    <t>listeners</t>
  </si>
  <si>
    <t>Digital,Radio,Podcast</t>
  </si>
  <si>
    <t>Television,Podcast,Other, please specify.</t>
  </si>
  <si>
    <t>Print newspaper,Print magazine</t>
  </si>
  <si>
    <t>Print newspaper,Print magazine,Radio</t>
  </si>
  <si>
    <t>Digital,Print magazine</t>
  </si>
  <si>
    <t>Digital,Print magazine,Podcast</t>
  </si>
  <si>
    <t>Digital,Television,Radio</t>
  </si>
  <si>
    <t>Print newspaper,Print magazine,Television,Radio,Podcast,Other, please specify.</t>
  </si>
  <si>
    <t>Television</t>
  </si>
  <si>
    <t>Digital,Print newspaper,Other, please specify.</t>
  </si>
  <si>
    <t>Radio,Podcast,Other, please specify.</t>
  </si>
  <si>
    <t>Print newspaper,Television,Radio,Podcast</t>
  </si>
  <si>
    <t>Print newspaper,Radio,Podcast</t>
  </si>
  <si>
    <t>Print</t>
  </si>
  <si>
    <t>NeonID</t>
  </si>
  <si>
    <t>Spacer Column</t>
  </si>
  <si>
    <t>Earned Income - Other TOTAL</t>
  </si>
  <si>
    <t>Earned Income - Training Fees</t>
  </si>
  <si>
    <t>Earned Income - Fees</t>
  </si>
  <si>
    <t>Earned Income - Fees Desc.</t>
  </si>
  <si>
    <t>Earned Income - Investments</t>
  </si>
  <si>
    <t>Medium Other</t>
  </si>
  <si>
    <t>Broadcast Reach</t>
  </si>
  <si>
    <t>Broadcast Units</t>
  </si>
  <si>
    <t>85</t>
  </si>
  <si>
    <t/>
  </si>
  <si>
    <t>travel reimbursements</t>
  </si>
  <si>
    <t>322</t>
  </si>
  <si>
    <t>Books, Issue retail</t>
  </si>
  <si>
    <t>323</t>
  </si>
  <si>
    <t>327</t>
  </si>
  <si>
    <t>329</t>
  </si>
  <si>
    <t>Fee for stories</t>
  </si>
  <si>
    <t>We collaborate heavily with newspapers and radio. Our indirect audience, re below, much higher than our direct audience.</t>
  </si>
  <si>
    <t>330</t>
  </si>
  <si>
    <t>332</t>
  </si>
  <si>
    <t>Fundraising gala -- our tax consultant says it cannot be considered earned income</t>
  </si>
  <si>
    <t>Newsstand sales, sales of old print supplements</t>
  </si>
  <si>
    <t>333</t>
  </si>
  <si>
    <t>334</t>
  </si>
  <si>
    <t>Corporate</t>
  </si>
  <si>
    <t>337</t>
  </si>
  <si>
    <t>343</t>
  </si>
  <si>
    <t>345</t>
  </si>
  <si>
    <t>346</t>
  </si>
  <si>
    <t>Jobs Board</t>
  </si>
  <si>
    <t>Honoraria</t>
  </si>
  <si>
    <t>347</t>
  </si>
  <si>
    <t>348</t>
  </si>
  <si>
    <t>349</t>
  </si>
  <si>
    <t>Other nonprofits and corporate contributions</t>
  </si>
  <si>
    <t>Honorariums</t>
  </si>
  <si>
    <t>351</t>
  </si>
  <si>
    <t>Sponsorship (charitable foundation)</t>
  </si>
  <si>
    <t>Consulting and special project production</t>
  </si>
  <si>
    <t>Hub</t>
  </si>
  <si>
    <t>Trainings and events</t>
  </si>
  <si>
    <t>352</t>
  </si>
  <si>
    <t>board members</t>
  </si>
  <si>
    <t>job board</t>
  </si>
  <si>
    <t>353</t>
  </si>
  <si>
    <t>356</t>
  </si>
  <si>
    <t>357</t>
  </si>
  <si>
    <t>Media partnerships</t>
  </si>
  <si>
    <t>359</t>
  </si>
  <si>
    <t>361</t>
  </si>
  <si>
    <t>364</t>
  </si>
  <si>
    <t>365</t>
  </si>
  <si>
    <t>Contract Services</t>
  </si>
  <si>
    <t>Rent and Misc.</t>
  </si>
  <si>
    <t>366</t>
  </si>
  <si>
    <t>370</t>
  </si>
  <si>
    <t>373</t>
  </si>
  <si>
    <t>Fiscal sponsorship</t>
  </si>
  <si>
    <t>374</t>
  </si>
  <si>
    <t>377</t>
  </si>
  <si>
    <t>print, online, TV and radio</t>
  </si>
  <si>
    <t>378</t>
  </si>
  <si>
    <t>Merchandise Sales</t>
  </si>
  <si>
    <t>380</t>
  </si>
  <si>
    <t>Consulting</t>
  </si>
  <si>
    <t>381</t>
  </si>
  <si>
    <t>in kind</t>
  </si>
  <si>
    <t>merch sales and misc</t>
  </si>
  <si>
    <t>382</t>
  </si>
  <si>
    <t>384</t>
  </si>
  <si>
    <t>386</t>
  </si>
  <si>
    <t>matching gifts, corporate gifts</t>
  </si>
  <si>
    <t>Refunds/Rebates</t>
  </si>
  <si>
    <t>fees for services (editorial)</t>
  </si>
  <si>
    <t>387</t>
  </si>
  <si>
    <t>restricted funds for sponsored projects</t>
  </si>
  <si>
    <t>391</t>
  </si>
  <si>
    <t>393</t>
  </si>
  <si>
    <t>viewers/listeners</t>
  </si>
  <si>
    <t>394</t>
  </si>
  <si>
    <t>FRONTLINE</t>
  </si>
  <si>
    <t>395</t>
  </si>
  <si>
    <t>Corporate contributions</t>
  </si>
  <si>
    <t>396</t>
  </si>
  <si>
    <t>Carry-forward andUniversity support</t>
  </si>
  <si>
    <t>401</t>
  </si>
  <si>
    <t>406</t>
  </si>
  <si>
    <t>contract writing</t>
  </si>
  <si>
    <t>407</t>
  </si>
  <si>
    <t>management fee for conferenc</t>
  </si>
  <si>
    <t>fee from media company</t>
  </si>
  <si>
    <t>410</t>
  </si>
  <si>
    <t>411</t>
  </si>
  <si>
    <t>Founder</t>
  </si>
  <si>
    <t>412</t>
  </si>
  <si>
    <t>in-kind advertising</t>
  </si>
  <si>
    <t>Speaker fees</t>
  </si>
  <si>
    <t>413</t>
  </si>
  <si>
    <t>415</t>
  </si>
  <si>
    <t>Downloads/month</t>
  </si>
  <si>
    <t>418</t>
  </si>
  <si>
    <t>Consulting Services</t>
  </si>
  <si>
    <t>419</t>
  </si>
  <si>
    <t>423</t>
  </si>
  <si>
    <t>424</t>
  </si>
  <si>
    <t>426</t>
  </si>
  <si>
    <t>428</t>
  </si>
  <si>
    <t xml:space="preserve">Podcast downloads- however often NPR will schedule live reports on our podcast increasing audience. </t>
  </si>
  <si>
    <t>429</t>
  </si>
  <si>
    <t>speaking fees</t>
  </si>
  <si>
    <t>431</t>
  </si>
  <si>
    <t>434</t>
  </si>
  <si>
    <t>436</t>
  </si>
  <si>
    <t>Listeners in DMA</t>
  </si>
  <si>
    <t>438</t>
  </si>
  <si>
    <t>readers</t>
  </si>
  <si>
    <t>441</t>
  </si>
  <si>
    <t>443</t>
  </si>
  <si>
    <t>sources include matching gifts, earned income and small corporate donations</t>
  </si>
  <si>
    <t>content</t>
  </si>
  <si>
    <t>449</t>
  </si>
  <si>
    <t>Photo Sales &amp; Interest Income</t>
  </si>
  <si>
    <t>452</t>
  </si>
  <si>
    <t>fiscal sponsorship fees</t>
  </si>
  <si>
    <t>renting office desks to freelance journalists</t>
  </si>
  <si>
    <t>Our organization is truly multimedia. We publish online and produce a quarterly broadsheet newspaper. We also run a low-power FM radio station and produce daily podcasts.</t>
  </si>
  <si>
    <t>DMA</t>
  </si>
  <si>
    <t>457</t>
  </si>
  <si>
    <t>Combination of digital and republished with partner newspapers and television</t>
  </si>
  <si>
    <t>458</t>
  </si>
  <si>
    <t>edit services</t>
  </si>
  <si>
    <t>462</t>
  </si>
  <si>
    <t>468</t>
  </si>
  <si>
    <t>Crowdfunding</t>
  </si>
  <si>
    <t>470</t>
  </si>
  <si>
    <t>471</t>
  </si>
  <si>
    <t>472</t>
  </si>
  <si>
    <t>office and studio rentals, royalties, fiscal sponsorship revenue, legal fees and settlements</t>
  </si>
  <si>
    <t>Documentary production fees</t>
  </si>
  <si>
    <t>Listeners per week</t>
  </si>
  <si>
    <t>476</t>
  </si>
  <si>
    <t>services</t>
  </si>
  <si>
    <t>478</t>
  </si>
  <si>
    <t>Corporate donation</t>
  </si>
  <si>
    <t>484</t>
  </si>
  <si>
    <t>486</t>
  </si>
  <si>
    <t>We partner with a wide variety of outlets</t>
  </si>
  <si>
    <t>488</t>
  </si>
  <si>
    <t>Partner Payments</t>
  </si>
  <si>
    <t>489</t>
  </si>
  <si>
    <t>merch</t>
  </si>
  <si>
    <t>viewers/readers</t>
  </si>
  <si>
    <t>491</t>
  </si>
  <si>
    <t>495</t>
  </si>
  <si>
    <t>497</t>
  </si>
  <si>
    <t>502</t>
  </si>
  <si>
    <t>Refunds, Rent, Dividends, Chapman</t>
  </si>
  <si>
    <t>503</t>
  </si>
  <si>
    <t>podcast downloads per month</t>
  </si>
  <si>
    <t>504</t>
  </si>
  <si>
    <t>505</t>
  </si>
  <si>
    <t>All individual donations</t>
  </si>
  <si>
    <t>Misc. income</t>
  </si>
  <si>
    <t>10k average monthly podcast downloads,  32k average monthly YouTube views, 74k average monthly Facebook video views</t>
  </si>
  <si>
    <t>507</t>
  </si>
  <si>
    <t>511</t>
  </si>
  <si>
    <t xml:space="preserve">support of collaboration with UW-Madison School of Journalism and Mass Communication, $10k from Report for America </t>
  </si>
  <si>
    <t>515</t>
  </si>
  <si>
    <t>Business contributions</t>
  </si>
  <si>
    <t>518</t>
  </si>
  <si>
    <t>Governemtn</t>
  </si>
  <si>
    <t>$4,130 (Production services) $15,000 (Podcast) $2,000 (honorarium) $5,463 (Studio Rental)</t>
  </si>
  <si>
    <t>522</t>
  </si>
  <si>
    <t>2527</t>
  </si>
  <si>
    <t>11 from Amazon Smile</t>
  </si>
  <si>
    <t>We distribute through radio stations, digital, and podcast.</t>
  </si>
  <si>
    <t>2890</t>
  </si>
  <si>
    <t>2903</t>
  </si>
  <si>
    <t>2906</t>
  </si>
  <si>
    <t>2907</t>
  </si>
  <si>
    <t>2910</t>
  </si>
  <si>
    <t>2917</t>
  </si>
  <si>
    <t>2920</t>
  </si>
  <si>
    <t>2936</t>
  </si>
  <si>
    <t>2937</t>
  </si>
  <si>
    <t>2938</t>
  </si>
  <si>
    <t>2939</t>
  </si>
  <si>
    <t>2940</t>
  </si>
  <si>
    <t>2941</t>
  </si>
  <si>
    <t>2946</t>
  </si>
  <si>
    <t>We publish on our own site but our model is based off sharing our content with all news publishers and broadcasters in the state</t>
  </si>
  <si>
    <t>2983</t>
  </si>
  <si>
    <t>Story licensing</t>
  </si>
  <si>
    <t>2985</t>
  </si>
  <si>
    <t>2988</t>
  </si>
  <si>
    <t>misc</t>
  </si>
  <si>
    <t>Station</t>
  </si>
  <si>
    <t>Budget Size</t>
  </si>
  <si>
    <t>Total Local News Expenses</t>
  </si>
  <si>
    <t>Local News Expenses - Programming &amp; Production</t>
  </si>
  <si>
    <t>Local News Expenses - Non-Editorial</t>
  </si>
  <si>
    <t>Local News Staff</t>
  </si>
  <si>
    <t>Type</t>
  </si>
  <si>
    <t>Total Annual Income</t>
  </si>
  <si>
    <t>Back Office/Shared Reporting</t>
  </si>
  <si>
    <t>Back Office</t>
  </si>
  <si>
    <t>GEO_TTL</t>
  </si>
  <si>
    <t>AGG_DESC_TTL</t>
  </si>
  <si>
    <t>YEAR</t>
  </si>
  <si>
    <t>AMOUNT</t>
  </si>
  <si>
    <t>United States</t>
  </si>
  <si>
    <t>Total school systems</t>
  </si>
  <si>
    <t>2017</t>
  </si>
  <si>
    <t>Table 1. Annual Estimates of the Resident Population for the United States, Regions, States, and Puerto Rico: April 1, 2010 to July 1, 2019</t>
  </si>
  <si>
    <t>Geographic Area</t>
  </si>
  <si>
    <t>Population Estimate (as of July 1)</t>
  </si>
  <si>
    <t>Census</t>
  </si>
  <si>
    <t>Estimates Base</t>
  </si>
  <si>
    <t>Northeast</t>
  </si>
  <si>
    <t>Midwest</t>
  </si>
  <si>
    <t>South</t>
  </si>
  <si>
    <t>West</t>
  </si>
  <si>
    <t>Puerto Rico</t>
  </si>
  <si>
    <t>Note: The estimates are based on the 2010 Census and reflect changes to the April 1, 2010 population due to the Count Question Resolution program and geographic program revisions. See Geographic Terms and Definitions at http://www.census.gov/programs-surveys/popest/guidance-geographies/terms-and-definitions.html for a list of the states that are included in each region.  All geographic boundaries for the 2019 population estimates series except statistical area delineations are as of January 1, 2019.  For population estimates methodology statements, see http://www.census.gov/programs-surveys/popest/technical-documentation/methodology.html.</t>
  </si>
  <si>
    <t>Suggested Citation:</t>
  </si>
  <si>
    <t>Table 1. Annual Estimates of the Resident Population for the United States, Regions, States, and Puerto Rico: April 1, 2010 to July 1, 2019 (NST-EST2019-01)</t>
  </si>
  <si>
    <t>Source: U.S. Census Bureau, Population Division</t>
  </si>
  <si>
    <t>Release Date: December 2019</t>
  </si>
  <si>
    <t>Government Unit Type</t>
  </si>
  <si>
    <t>Amount</t>
  </si>
  <si>
    <t>Census Year</t>
  </si>
  <si>
    <t>Total Local Government Units</t>
  </si>
  <si>
    <t>Special Purpose Governments</t>
  </si>
  <si>
    <t>General Purpose Governments</t>
  </si>
  <si>
    <t>Subcounty Governments</t>
  </si>
  <si>
    <t>Subcounty Governments - Municipal Governments</t>
  </si>
  <si>
    <t>Subcounty Governments - Township Governments</t>
  </si>
  <si>
    <t>Special Purpose Governments - Special District Governments</t>
  </si>
  <si>
    <t>Special Purpose Governments - Independent School District Governments</t>
  </si>
  <si>
    <t>Foundation Center Data - 2015</t>
  </si>
  <si>
    <t>Abbreviation</t>
  </si>
  <si>
    <t>Year</t>
  </si>
  <si>
    <t>Total Assets</t>
  </si>
  <si>
    <t>Assets (% of Total)</t>
  </si>
  <si>
    <t>Total Giving</t>
  </si>
  <si>
    <t>Giving (% of Total)</t>
  </si>
  <si>
    <t>Number of Foundations (% of Total)</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</si>
  <si>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</si>
  <si>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</si>
  <si>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</si>
  <si>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</si>
  <si>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</si>
  <si>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</si>
  <si>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</si>
  <si>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</si>
  <si>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</si>
  <si>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</si>
  <si>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</si>
  <si>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</si>
  <si>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</si>
  <si>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</si>
  <si>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</si>
  <si>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</si>
  <si>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</si>
  <si>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</si>
  <si>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</si>
  <si>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</si>
  <si>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</si>
  <si>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</si>
  <si>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</si>
  <si>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</si>
  <si>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</si>
  <si>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</si>
  <si>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</si>
  <si>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</si>
  <si>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</si>
  <si>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</si>
  <si>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</si>
  <si>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</si>
  <si>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</si>
  <si>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</si>
  <si>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</si>
  <si>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</si>
  <si>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</si>
  <si>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</si>
  <si>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</si>
  <si>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</si>
  <si>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</si>
  <si>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</si>
  <si>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</si>
  <si>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</si>
  <si>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</si>
  <si>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</si>
  <si>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</si>
  <si>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</si>
  <si>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</si>
  <si>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</si>
  <si>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</si>
  <si>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 Copyright: Copyright  2021, The Foundation Center. All rights reserved. Permission to use, copy, and/or distribute this document in whole or in part for internal, noncommercial purposes without fee is hereby granted provided that this notice and appropriate credit to the Foundation Center is included in all copies. All references to data contained in this document must also credit the Foundation Center. No other reproduction, republishing, or dissemination in any manner of form is permitted without prior written consent from the Foundation Center. Requests for written consent should be submitted to the Foundation Center's Research Department.</t>
  </si>
  <si>
    <t># Title: Aggregate Fiscal Data of Foundations in the U.S. by Foundation Type, 2015</t>
  </si>
  <si>
    <t># Footnotes:</t>
  </si>
  <si>
    <t># 3: Only grantmaking operating foundations are included. For some operating foundations, total giving amount includes grants and program expenses; for others, total giving includes only grants. Most operating foundations' qualifying distributions are paid out of administration of operating programs and not for grants.</t>
  </si>
  <si>
    <t># Source: Foundation Center, 2021.</t>
  </si>
  <si>
    <t>name</t>
  </si>
  <si>
    <t>short_name</t>
  </si>
  <si>
    <t>year</t>
  </si>
  <si>
    <t>assets.amount</t>
  </si>
  <si>
    <t>assets.pct</t>
  </si>
  <si>
    <t>giving.amount</t>
  </si>
  <si>
    <t>giving.pct</t>
  </si>
  <si>
    <t>num_foundations.amount</t>
  </si>
  <si>
    <t>num_foundations.pct</t>
  </si>
  <si>
    <t>Community</t>
  </si>
  <si>
    <t>CM</t>
  </si>
  <si>
    <t>CS</t>
  </si>
  <si>
    <t>Independent</t>
  </si>
  <si>
    <t>Operating</t>
  </si>
  <si>
    <t>OP</t>
  </si>
  <si>
    <t>Coverage Units</t>
  </si>
  <si>
    <t>Content Priority</t>
  </si>
  <si>
    <t>Sub-Type</t>
  </si>
  <si>
    <t>Scope/Content</t>
  </si>
  <si>
    <t>Communities Served</t>
  </si>
  <si>
    <t>Ownership</t>
  </si>
  <si>
    <t>Nonprofit</t>
  </si>
  <si>
    <t>National w. Local Bureaus</t>
  </si>
  <si>
    <t>For-profit</t>
  </si>
  <si>
    <t>Hybrid</t>
  </si>
  <si>
    <t>Hub/Support</t>
  </si>
  <si>
    <t>Fiscally Sponsored</t>
  </si>
  <si>
    <t>LGBTQ+</t>
  </si>
  <si>
    <t>Coop</t>
  </si>
  <si>
    <t>Franchise</t>
  </si>
  <si>
    <t>Hyper-local: General</t>
  </si>
  <si>
    <t>Hyper-local: Multiple Related Topics</t>
  </si>
  <si>
    <t>Hyper-local: Single-Topic</t>
  </si>
  <si>
    <t>US Census of Governments 2017</t>
  </si>
  <si>
    <t>US Census Population Estimates 2019</t>
  </si>
  <si>
    <t>INN Index Data 2021 &amp; 2020</t>
  </si>
  <si>
    <t>Recategorized based on our taxonomy</t>
  </si>
  <si>
    <t>Removed global outlets</t>
  </si>
  <si>
    <t>Removed public media</t>
  </si>
  <si>
    <t>The Foundation Center: Aggregate Fiscal Data of Foundations in the U.S., 2015</t>
  </si>
  <si>
    <t>Project Oasis Research Report - March 2021</t>
  </si>
  <si>
    <t>Mark Fuerst Public Radio Data</t>
  </si>
  <si>
    <t>Referred to station websites for staff numbers</t>
  </si>
  <si>
    <t>Democracy Fund Journalism Modeling Project</t>
  </si>
  <si>
    <t>DRAFT - FOR DISCUSSION ONLY</t>
  </si>
  <si>
    <t>Model Outline</t>
  </si>
  <si>
    <t>February 2021</t>
  </si>
  <si>
    <t>BASELINE DATA</t>
  </si>
  <si>
    <t>Category</t>
  </si>
  <si>
    <t>Data</t>
  </si>
  <si>
    <t>Source(s)</t>
  </si>
  <si>
    <t xml:space="preserve">Journalism organization data </t>
  </si>
  <si>
    <t>Type of organization (see Taxonomy tab)</t>
  </si>
  <si>
    <t>INN Index, NewsMatch, numbers sourced from Tony Bowen/Chalkbeat</t>
  </si>
  <si>
    <t># of reporters/editorial staff</t>
  </si>
  <si>
    <t># of support/business staff</t>
  </si>
  <si>
    <t>Non-personnel expenses</t>
  </si>
  <si>
    <t>Annual total operating expenses</t>
  </si>
  <si>
    <t>Annual revenue</t>
  </si>
  <si>
    <t>Revenue split - audience/philanthropy/sponsorships</t>
  </si>
  <si>
    <t>Hub/support organization data</t>
  </si>
  <si>
    <t># of staff</t>
  </si>
  <si>
    <t>Annual operating expenses</t>
  </si>
  <si>
    <t>Coverage units</t>
  </si>
  <si>
    <t>School districts</t>
  </si>
  <si>
    <t>Census data, Abernathy news desert mapping</t>
  </si>
  <si>
    <t>Municipal/county/state governments</t>
  </si>
  <si>
    <t>Special districts</t>
  </si>
  <si>
    <t>Per capita</t>
  </si>
  <si>
    <t>Government funding areas (education, health care, infrastructure, etc.)</t>
  </si>
  <si>
    <t>Designated Market Areas</t>
  </si>
  <si>
    <t>Defined news deserts</t>
  </si>
  <si>
    <t>Per capita - demographic groups (Latinx, Black, LGBTQ+, etc.)</t>
  </si>
  <si>
    <t>Local philanthropy</t>
  </si>
  <si>
    <t>Community foundations by locality and assets</t>
  </si>
  <si>
    <t>Estimates</t>
  </si>
  <si>
    <t>Average salary for reporting/editorial/business staff positions</t>
  </si>
  <si>
    <t>Chalkbeat numbers</t>
  </si>
  <si>
    <t>Indirect rate</t>
  </si>
  <si>
    <t>Startup runway</t>
  </si>
  <si>
    <t>Per interviews</t>
  </si>
  <si>
    <t>Benefits rate</t>
  </si>
  <si>
    <t>INPUTS</t>
  </si>
  <si>
    <t>Assumption</t>
  </si>
  <si>
    <t>Calculation</t>
  </si>
  <si>
    <t># of each type of news org desired per coverage unit</t>
  </si>
  <si>
    <t># of each size (potentially including Chalkbeat/ProPublica bureaus, etc.)</t>
  </si>
  <si>
    <t># of reporters/editorial staff desired per coverage unit</t>
  </si>
  <si>
    <t>Calculate cost based on predetermined ratio of business staff to editorial</t>
  </si>
  <si>
    <t>Failure rate</t>
  </si>
  <si>
    <t>Acquisition &amp; replanting</t>
  </si>
  <si>
    <t>Yes or no, how many, length of time, cost of each, source of funding</t>
  </si>
  <si>
    <t>Local vs. national philanthropy</t>
  </si>
  <si>
    <t>Percentage or amount of philanthropy from each source</t>
  </si>
  <si>
    <t>Philanthropy - startup</t>
  </si>
  <si>
    <t>Years of startup funding at what % of operating budget, sustaining funding, growth/capacity building funding</t>
  </si>
  <si>
    <t>Philanthropy - sustaining</t>
  </si>
  <si>
    <t>Philanthropy - growth</t>
  </si>
  <si>
    <t>Report for America reporters per coverage unit</t>
  </si>
  <si>
    <t>Yes or no, calculate</t>
  </si>
  <si>
    <t>Revenue split</t>
  </si>
  <si>
    <t>Desired percentage of audience/philanthropy/sponsorship revenue</t>
  </si>
  <si>
    <t>OUTPUTS</t>
  </si>
  <si>
    <t>Philanthropic investment needed by year</t>
  </si>
  <si>
    <t>Total # of business staff</t>
  </si>
  <si>
    <t>Total # of reporters/editorial staff</t>
  </si>
  <si>
    <t>Total business/other personnel costs</t>
  </si>
  <si>
    <t>Based on # of staff plus assumed benefits rate</t>
  </si>
  <si>
    <t>Total cost</t>
  </si>
  <si>
    <t>Total non-personnel costs</t>
  </si>
  <si>
    <t>Based on # of orgs of each size using expense data</t>
  </si>
  <si>
    <t>Total philanthropic investment needed</t>
  </si>
  <si>
    <t>Total reporter/editorial personnel costs</t>
  </si>
  <si>
    <t>Taxonomy of Organizations &amp; Model Variables</t>
  </si>
  <si>
    <t>Example Organization(s)</t>
  </si>
  <si>
    <t>6amCity</t>
  </si>
  <si>
    <t>ProPublica</t>
  </si>
  <si>
    <t>Chalkbeat</t>
  </si>
  <si>
    <t>Regional/State</t>
  </si>
  <si>
    <t>VTDigger, Texas Tribune</t>
  </si>
  <si>
    <t>Bridge Michigan, CALMatters</t>
  </si>
  <si>
    <t>Daily Line (Chicago)</t>
  </si>
  <si>
    <t>The City</t>
  </si>
  <si>
    <t>Chicago Reader</t>
  </si>
  <si>
    <t>Windy City Times, The Triibe</t>
  </si>
  <si>
    <t>Devil Strip, South Side Weekly</t>
  </si>
  <si>
    <t>Block Club Chicago</t>
  </si>
  <si>
    <t>Capitol Fax (Chicago)</t>
  </si>
  <si>
    <t>News Revenue Hub, LION</t>
  </si>
  <si>
    <t>COLab, CoastAlaska</t>
  </si>
  <si>
    <t>Resolve Philadelphia, Chicago Independent Media Alliance</t>
  </si>
  <si>
    <t>Reader Media Group</t>
  </si>
  <si>
    <t>Variables</t>
  </si>
  <si>
    <t>Source</t>
  </si>
  <si>
    <t>Organizational Data</t>
  </si>
  <si>
    <t>Ratio of editorial costs to non-editorial costs</t>
  </si>
  <si>
    <t>Fully loaded cost per journalist</t>
  </si>
  <si>
    <t>Other assumptions</t>
  </si>
  <si>
    <t>Total startup financing</t>
  </si>
  <si>
    <t>% of startup financing from philanthropy</t>
  </si>
  <si>
    <t># of years to reach sustainability</t>
  </si>
  <si>
    <t>State Level Calculations</t>
  </si>
  <si>
    <t>Select Your State</t>
  </si>
  <si>
    <t>March 2022</t>
  </si>
  <si>
    <t>N</t>
  </si>
  <si>
    <t>Y</t>
  </si>
  <si>
    <t>Multiplier?</t>
  </si>
  <si>
    <t>STATE MULTIPLIERS</t>
  </si>
  <si>
    <t>STATE STATISTICS</t>
  </si>
  <si>
    <t>Editorial Staff Needed</t>
  </si>
  <si>
    <t>Non-Editorial Staff Needed</t>
  </si>
  <si>
    <t>Regional Calculations</t>
  </si>
  <si>
    <t>REGIONAL STATISTICS</t>
  </si>
  <si>
    <t>ANNUAL EDITORIAL EXPENSES: Calculates editorial expenses using Expense Per Editorial Staff amount in Assumptions tab.</t>
  </si>
  <si>
    <t>EDITORIAL STAFF NEEDED: Calculates number of editorial staff needed, using a state size multiplier to adjust certain coverage units. Coverage units that use the multiplier to calculate are noted with a Y in row 22.</t>
  </si>
  <si>
    <t>NON-EDITORIAL STAFF NEEDED: Calculates number of non-editorial staff using editorial/non-editorial ratio listed in the Assumptions tab (currently 60-40).</t>
  </si>
  <si>
    <t>ANNUAL NON-EDITORIAL EXPENSES: Calculates non-editorial expenses using editorial/non-editorial ratio listed in the Assumptions tab (currently 60-40).</t>
  </si>
  <si>
    <t>INSTRUCTIONS</t>
  </si>
  <si>
    <t>Desired Philanthropic Coverage (Cell B6)</t>
  </si>
  <si>
    <t>Minimum Desired Editorial Staff  (Cells B11:C18)</t>
  </si>
  <si>
    <t>Input minimum desired of each type of organization in the country</t>
  </si>
  <si>
    <t>Ratio of editorial to non-editorial expenses and staff - set at 60-40 based on interviews but can be adjusted as desired.</t>
  </si>
  <si>
    <t>Minimum of Each Org in USA (Cells B7:B20)</t>
  </si>
  <si>
    <t>Expense/Personnel Ratio (Cells B32 &amp; B33)</t>
  </si>
  <si>
    <t>List based on interviews but may be added/removed as desired.</t>
  </si>
  <si>
    <t>NUMBER OF EACH ORG TYPE PER COVERAGE UNIT</t>
  </si>
  <si>
    <t xml:space="preserve">NUMBER OF ORGS NEEDED: Calculates number of each type of organization required on a national basis using amounts input per coverage unit. </t>
  </si>
  <si>
    <t>ANNUAL EDITORIAL EXPENSES: Calculates editorial expenses using averages for each type of organization from INN data.</t>
  </si>
  <si>
    <t>ANNUAL NON-EDITORIAL EXPENSES: Calculates editorial expenses using averages for each type of organization from INN data.</t>
  </si>
  <si>
    <t>TOTAL ANNUAL EXPENSES: Adds editorial and non-editorial expenses calculated above.</t>
  </si>
  <si>
    <t>EDITORIAL STAFF NEEDED: Calculates number of editorial staff needed using averages for each type of organization from INN data.</t>
  </si>
  <si>
    <t>Enter number of each organization type desired per coverage unit</t>
  </si>
  <si>
    <t>State Estimate</t>
  </si>
  <si>
    <t>Select State (Cell B6)</t>
  </si>
  <si>
    <t>Choose the US state you would like to model</t>
  </si>
  <si>
    <t>STATE STATISTICS: Looks up state statistics from census data.</t>
  </si>
  <si>
    <t>STATE SIZE: Looks up state size category from State Data Rollup &amp; Size Tags</t>
  </si>
  <si>
    <t>MULTIPLIER: Looks up state size multiplier from Coverage Units by State Size</t>
  </si>
  <si>
    <t>NUMBER OF EDITORIAL STAFF</t>
  </si>
  <si>
    <t>Number of Editorial Staff (Cells B20:C27)</t>
  </si>
  <si>
    <t>Enter minimum editorial staff per coverage unit, per government focus area/demographic coverage area</t>
  </si>
  <si>
    <t>Enter desired number of editorial staff per coverage unit, per government focus area/demographic coverage area</t>
  </si>
  <si>
    <t>EDITORIAL STAFF NEEDED: Calculates number of editorial staff needed, using state size multiplier to adjust certain coverage units (refer to By Journalist tab to see which coverage units employ the multiplier)</t>
  </si>
  <si>
    <t>NON-EDITORIAL STAFF NEEDED: Calculates number of non-editorial staff using editorial/non-editorial ratio listed in the Assumptions tab.</t>
  </si>
  <si>
    <t>ANNUAL NON-EDITORIAL EXPENSES: Calculates non-editorial expenses using editorial/non-editorial ratio listed in the Assumptions tab.</t>
  </si>
  <si>
    <t>Region Estimate</t>
  </si>
  <si>
    <t>Number of Editorial Staff (Cells B17:C24)</t>
  </si>
  <si>
    <t>Regional Statistics (Cells F17:F24)</t>
  </si>
  <si>
    <t>Enter the coverage unit statistics for the region in question</t>
  </si>
  <si>
    <t>Input desired percentage of revenue for the national ecosystem to be funded by philanthropy</t>
  </si>
  <si>
    <t>Coverage by Types of Orgs - Regional, National, Hubs</t>
  </si>
  <si>
    <t>Number of Each Org Type Per Coverage Unit (Cells D8:K20)</t>
  </si>
  <si>
    <t>Per Government Focus Area</t>
  </si>
  <si>
    <t>Government focus and demographic coverage areas</t>
  </si>
  <si>
    <t>Government Focus Areas</t>
  </si>
  <si>
    <t>Government Funding Areas</t>
  </si>
  <si>
    <t>User Instructions</t>
  </si>
  <si>
    <t>agg_content_type_TOTAL INCOME</t>
  </si>
  <si>
    <t>agg_content_type_Total Contributed Income</t>
  </si>
  <si>
    <t>agg_content_type_Total Earned Income</t>
  </si>
  <si>
    <t>agg_content_type_Cont. Income - Foundations</t>
  </si>
  <si>
    <t>agg_content_type_Cont. Income - Membership</t>
  </si>
  <si>
    <t>agg_content_type_Total Individual Donations</t>
  </si>
  <si>
    <t>agg_content_type_Cont. Income - Small Donors</t>
  </si>
  <si>
    <t>agg_content_type_Cont. Income - Med. Donors</t>
  </si>
  <si>
    <t>agg_content_type_Cont. Income - Major Donors</t>
  </si>
  <si>
    <t>agg_content_type_Cont. Income - Other</t>
  </si>
  <si>
    <t>agg_content_type_Earned Income - Advertising</t>
  </si>
  <si>
    <t>agg_content_type_Earned Income - Sponsorships/Underwriting</t>
  </si>
  <si>
    <t>agg_content_type_Earned Income - Events</t>
  </si>
  <si>
    <t>agg_content_type_Earned Income - Subscriptions</t>
  </si>
  <si>
    <t>agg_content_type_Earned Income - Syndication</t>
  </si>
  <si>
    <t>agg_content_type_Earned Income - Other</t>
  </si>
  <si>
    <t>agg_content_type_Expenses - Editorial</t>
  </si>
  <si>
    <t>agg_content_type_Expenses - Non-Editorial</t>
  </si>
  <si>
    <t>agg_content_type_TOTAL EXPENSES</t>
  </si>
  <si>
    <t>agg_content_type_Total FTE</t>
  </si>
  <si>
    <t>agg_content_type_Total FTE - Editorial</t>
  </si>
  <si>
    <t>agg_content_type_Total FTE - Non-Editorial</t>
  </si>
  <si>
    <t>agg_sub_type_TOTAL INCOME</t>
  </si>
  <si>
    <t>agg_sub_type_Total Contributed Income</t>
  </si>
  <si>
    <t>agg_sub_type_Total Earned Income</t>
  </si>
  <si>
    <t>agg_sub_type_Cont. Income - Foundations</t>
  </si>
  <si>
    <t>agg_sub_type_Cont. Income - Membership</t>
  </si>
  <si>
    <t>agg_sub_type_Total Individual Donations</t>
  </si>
  <si>
    <t>agg_sub_type_Cont. Income - Small Donors</t>
  </si>
  <si>
    <t>agg_sub_type_Cont. Income - Med. Donors</t>
  </si>
  <si>
    <t>agg_sub_type_Cont. Income - Major Donors</t>
  </si>
  <si>
    <t>agg_sub_type_Cont. Income - Other</t>
  </si>
  <si>
    <t>agg_sub_type_Earned Income - Advertising</t>
  </si>
  <si>
    <t>agg_sub_type_Earned Income - Sponsorships/Underwriting</t>
  </si>
  <si>
    <t>agg_sub_type_Earned Income - Events</t>
  </si>
  <si>
    <t>agg_sub_type_Earned Income - Subscriptions</t>
  </si>
  <si>
    <t>agg_sub_type_Earned Income - Syndication</t>
  </si>
  <si>
    <t>agg_sub_type_Earned Income - Other</t>
  </si>
  <si>
    <t>agg_sub_type_Expenses - Editorial</t>
  </si>
  <si>
    <t>agg_sub_type_Expenses - Non-Editorial</t>
  </si>
  <si>
    <t>agg_sub_type_TOTAL EXPENSES</t>
  </si>
  <si>
    <t>agg_sub_type_Total FTE</t>
  </si>
  <si>
    <t>agg_sub_type_Total FTE - Editorial</t>
  </si>
  <si>
    <t>agg_sub_type_Total FTE - Non-Editorial</t>
  </si>
  <si>
    <t>Originally developed for the Democracy Fund. Open sourced by Duke University</t>
  </si>
  <si>
    <t>An explanation of the models' calculations can be found at tinyurl.com/news-model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</si>
</sst>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quot;$&quot;* #,##0_);_(&quot;$&quot;* \(#,##0\);_(&quot;$&quot;* &quot;-&quot;??_);_(@_)"/>
    <numFmt numFmtId="165" formatCode="&quot;$&quot;#,##0.00"/>
    <numFmt numFmtId="166" formatCode="_(* #,##0_);_(* \(#,##0\);_(* &quot;-&quot;??_);_(@_)"/>
    <numFmt numFmtId="167" formatCode="mmmm\ d\,\ yyyy"/>
  </numFmts>
  <fonts count="3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9"/>
      <color theme="0"/>
      <name val="Calibri"/>
      <family val="2"/>
      <scheme val="minor"/>
    </font>
    <font>
      <b/>
      <sz val="12"/>
      <color theme="1"/>
      <name val="Calibri"/>
      <family val="2"/>
      <scheme val="minor"/>
    </font>
    <font>
      <u/>
      <sz val="11"/>
      <color theme="10"/>
      <name val="Calibri"/>
      <family val="2"/>
      <scheme val="minor"/>
    </font>
    <font>
      <sz val="12"/>
      <color theme="1"/>
      <name val="Calibri"/>
      <family val="2"/>
      <scheme val="minor"/>
    </font>
    <font>
      <sz val="12"/>
      <color rgb="FF0070C0"/>
      <name val="Calibri"/>
      <family val="2"/>
      <scheme val="minor"/>
    </font>
    <font>
      <sz val="12"/>
      <name val="Calibri"/>
      <family val="2"/>
      <scheme val="minor"/>
    </font>
    <font>
      <i/>
      <sz val="11"/>
      <color theme="1"/>
      <name val="Calibri"/>
      <family val="2"/>
      <scheme val="minor"/>
    </font>
    <font>
      <sz val="11"/>
      <name val="Calibri"/>
      <family val="2"/>
      <scheme val="minor"/>
    </font>
    <font>
      <sz val="12"/>
      <color rgb="FFFF0000"/>
      <name val="Calibri"/>
      <family val="2"/>
      <scheme val="minor"/>
    </font>
    <font>
      <b/>
      <sz val="12"/>
      <color theme="0"/>
      <name val="Calibri"/>
      <family val="2"/>
      <scheme val="minor"/>
    </font>
    <font>
      <b/>
      <sz val="11"/>
      <color theme="1"/>
      <name val="Calibri"/>
      <family val="2"/>
    </font>
    <font>
      <b/>
      <sz val="11"/>
      <name val="Calibri"/>
      <family val="2"/>
    </font>
    <font>
      <sz val="11"/>
      <color theme="1"/>
      <name val="Calibri"/>
      <family val="2"/>
    </font>
    <font>
      <sz val="11"/>
      <name val="Calibri"/>
      <family val="2"/>
    </font>
    <font>
      <sz val="9"/>
      <color indexed="81"/>
      <name val="Tahoma"/>
      <family val="2"/>
    </font>
    <font>
      <b/>
      <sz val="9"/>
      <color indexed="81"/>
      <name val="Tahoma"/>
      <family val="2"/>
    </font>
    <font>
      <b/>
      <sz val="9"/>
      <color theme="1"/>
      <name val="Calibri"/>
      <family val="2"/>
      <scheme val="minor"/>
    </font>
    <font>
      <sz val="9"/>
      <color theme="1"/>
      <name val="Calibri"/>
      <family val="2"/>
      <scheme val="minor"/>
    </font>
    <font>
      <sz val="9"/>
      <color rgb="FF0070C0"/>
      <name val="Calibri"/>
      <family val="2"/>
      <scheme val="minor"/>
    </font>
    <font>
      <sz val="9"/>
      <color theme="0"/>
      <name val="Calibri"/>
      <family val="2"/>
      <scheme val="minor"/>
    </font>
    <font>
      <b/>
      <sz val="9"/>
      <name val="Calibri"/>
      <family val="2"/>
      <scheme val="minor"/>
    </font>
    <font>
      <sz val="9"/>
      <name val="Calibri"/>
      <family val="2"/>
      <scheme val="minor"/>
    </font>
    <font>
      <i/>
      <sz val="9"/>
      <color theme="1"/>
      <name val="Calibri"/>
      <family val="2"/>
      <scheme val="minor"/>
    </font>
    <font>
      <sz val="9"/>
      <color rgb="FF000000"/>
      <name val="Calibri"/>
      <family val="2"/>
      <scheme val="minor"/>
    </font>
    <font>
      <b/>
      <i/>
      <sz val="9"/>
      <color theme="0"/>
      <name val="Calibri"/>
      <family val="2"/>
      <scheme val="minor"/>
    </font>
    <font>
      <b/>
      <sz val="9"/>
      <color rgb="FF0070C0"/>
      <name val="Calibri"/>
      <family val="2"/>
      <scheme val="minor"/>
    </font>
    <font>
      <b/>
      <sz val="9"/>
      <color theme="4"/>
      <name val="Calibri"/>
      <family val="2"/>
      <scheme val="minor"/>
    </font>
    <font>
      <b/>
      <sz val="9"/>
      <color theme="5" tint="-0.249977111117893"/>
      <name val="Calibri"/>
      <family val="2"/>
      <scheme val="minor"/>
    </font>
    <font>
      <b/>
      <sz val="9"/>
      <color theme="7"/>
      <name val="Calibri"/>
      <family val="2"/>
      <scheme val="minor"/>
    </font>
    <font>
      <sz val="9"/>
      <color indexed="9"/>
      <name val="Calibri"/>
      <family val="2"/>
      <scheme val="minor"/>
    </font>
    <font>
      <sz val="9"/>
      <color rgb="FF000000"/>
      <name val="Arial"/>
      <family val="2"/>
    </font>
    <font>
      <b/>
      <i/>
      <sz val="9"/>
      <color theme="1"/>
      <name val="Calibri"/>
      <family val="2"/>
      <scheme val="minor"/>
    </font>
    <font>
      <b/>
      <sz val="8"/>
      <color theme="0" tint="-0.499984740745262"/>
      <name val="Calibri"/>
      <family val="2"/>
      <scheme val="minor"/>
    </font>
    <font>
      <sz val="8"/>
      <color theme="0" tint="-0.499984740745262"/>
      <name val="Calibri"/>
      <family val="2"/>
      <scheme val="minor"/>
    </font>
    <font>
      <b/>
      <i/>
      <sz val="8"/>
      <color theme="0" tint="-0.499984740745262"/>
      <name val="Calibri"/>
      <family val="2"/>
      <scheme val="minor"/>
    </font>
  </fonts>
  <fills count="9">
    <fill>
      <patternFill patternType="none"/>
    </fill>
    <fill>
      <patternFill patternType="gray125"/>
    </fill>
    <fill>
      <patternFill patternType="solid">
        <fgColor theme="3"/>
        <bgColor indexed="64"/>
      </patternFill>
    </fill>
    <fill>
      <patternFill patternType="solid">
        <fgColor theme="0" tint="-0.249977111117893"/>
        <bgColor indexed="64"/>
      </patternFill>
    </fill>
    <fill>
      <patternFill patternType="solid">
        <fgColor theme="8" tint="-0.499984740745262"/>
        <bgColor indexed="64"/>
      </patternFill>
    </fill>
    <fill>
      <patternFill patternType="solid">
        <fgColor theme="0" tint="-0.14999847407452621"/>
        <bgColor indexed="64"/>
      </patternFill>
    </fill>
    <fill>
      <patternFill patternType="solid">
        <fgColor indexed="9"/>
        <bgColor indexed="64"/>
      </patternFill>
    </fill>
    <fill>
      <patternFill patternType="solid">
        <fgColor indexed="43"/>
        <bgColor indexed="64"/>
      </patternFill>
    </fill>
    <fill>
      <patternFill patternType="solid">
        <fgColor theme="4" tint="-0.249977111117893"/>
        <bgColor indexed="64"/>
      </patternFill>
    </fill>
  </fills>
  <borders count="7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n">
        <color theme="0" tint="-0.34998626667073579"/>
      </bottom>
      <diagonal/>
    </border>
    <border>
      <left style="thin">
        <color indexed="64"/>
      </left>
      <right/>
      <top/>
      <bottom style="thin">
        <color theme="0" tint="-0.34998626667073579"/>
      </bottom>
      <diagonal/>
    </border>
    <border>
      <left/>
      <right style="thin">
        <color indexed="64"/>
      </right>
      <top/>
      <bottom style="thin">
        <color theme="0" tint="-0.3499862666707357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style="thin">
        <color theme="0" tint="-0.34998626667073579"/>
      </bottom>
      <diagonal/>
    </border>
    <border>
      <left style="thin">
        <color indexed="64"/>
      </left>
      <right/>
      <top style="thin">
        <color indexed="64"/>
      </top>
      <bottom style="thin">
        <color theme="0" tint="-0.14996795556505021"/>
      </bottom>
      <diagonal/>
    </border>
    <border>
      <left/>
      <right style="thin">
        <color indexed="64"/>
      </right>
      <top style="thin">
        <color indexed="64"/>
      </top>
      <bottom style="thin">
        <color theme="0" tint="-0.14996795556505021"/>
      </bottom>
      <diagonal/>
    </border>
    <border>
      <left style="thin">
        <color indexed="64"/>
      </left>
      <right/>
      <top style="thin">
        <color theme="0" tint="-0.14996795556505021"/>
      </top>
      <bottom style="thin">
        <color theme="0" tint="-0.14996795556505021"/>
      </bottom>
      <diagonal/>
    </border>
    <border>
      <left/>
      <right style="thin">
        <color indexed="64"/>
      </right>
      <top style="thin">
        <color theme="0" tint="-0.14996795556505021"/>
      </top>
      <bottom style="thin">
        <color theme="0" tint="-0.14996795556505021"/>
      </bottom>
      <diagonal/>
    </border>
    <border>
      <left style="thin">
        <color indexed="64"/>
      </left>
      <right/>
      <top style="thin">
        <color theme="0" tint="-0.14996795556505021"/>
      </top>
      <bottom style="thin">
        <color theme="0" tint="-0.34998626667073579"/>
      </bottom>
      <diagonal/>
    </border>
    <border>
      <left/>
      <right style="thin">
        <color indexed="64"/>
      </right>
      <top style="thin">
        <color theme="0" tint="-0.14996795556505021"/>
      </top>
      <bottom style="thin">
        <color theme="0" tint="-0.34998626667073579"/>
      </bottom>
      <diagonal/>
    </border>
    <border>
      <left style="thin">
        <color indexed="64"/>
      </left>
      <right/>
      <top style="thin">
        <color theme="0" tint="-0.14996795556505021"/>
      </top>
      <bottom style="thin">
        <color indexed="64"/>
      </bottom>
      <diagonal/>
    </border>
    <border>
      <left/>
      <right/>
      <top style="thin">
        <color theme="0" tint="-0.14996795556505021"/>
      </top>
      <bottom style="thin">
        <color indexed="64"/>
      </bottom>
      <diagonal/>
    </border>
    <border>
      <left/>
      <right style="thin">
        <color indexed="64"/>
      </right>
      <top style="thin">
        <color theme="0" tint="-0.14996795556505021"/>
      </top>
      <bottom style="thin">
        <color indexed="64"/>
      </bottom>
      <diagonal/>
    </border>
    <border>
      <left style="thin">
        <color indexed="64"/>
      </left>
      <right/>
      <top style="thin">
        <color theme="0" tint="-0.34998626667073579"/>
      </top>
      <bottom style="thin">
        <color theme="0" tint="-0.14996795556505021"/>
      </bottom>
      <diagonal/>
    </border>
    <border>
      <left/>
      <right/>
      <top style="thin">
        <color theme="0" tint="-0.34998626667073579"/>
      </top>
      <bottom style="thin">
        <color theme="0" tint="-0.14996795556505021"/>
      </bottom>
      <diagonal/>
    </border>
    <border>
      <left/>
      <right style="thin">
        <color indexed="64"/>
      </right>
      <top style="thin">
        <color theme="0" tint="-0.34998626667073579"/>
      </top>
      <bottom style="thin">
        <color theme="0" tint="-0.14996795556505021"/>
      </bottom>
      <diagonal/>
    </border>
    <border>
      <left style="thin">
        <color indexed="64"/>
      </left>
      <right/>
      <top/>
      <bottom style="thin">
        <color theme="0" tint="-0.14996795556505021"/>
      </bottom>
      <diagonal/>
    </border>
    <border>
      <left/>
      <right/>
      <top/>
      <bottom style="thin">
        <color theme="0" tint="-0.14996795556505021"/>
      </bottom>
      <diagonal/>
    </border>
    <border>
      <left/>
      <right style="thin">
        <color indexed="64"/>
      </right>
      <top/>
      <bottom style="thin">
        <color theme="0" tint="-0.14996795556505021"/>
      </bottom>
      <diagonal/>
    </border>
    <border>
      <left/>
      <right/>
      <top style="thin">
        <color theme="1"/>
      </top>
      <bottom/>
      <diagonal/>
    </border>
    <border>
      <left style="thin">
        <color theme="0" tint="-0.34998626667073579"/>
      </left>
      <right/>
      <top style="thin">
        <color indexed="64"/>
      </top>
      <bottom/>
      <diagonal/>
    </border>
    <border>
      <left/>
      <right style="thin">
        <color theme="0" tint="-0.34998626667073579"/>
      </right>
      <top style="thin">
        <color indexed="64"/>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indexed="64"/>
      </bottom>
      <diagonal/>
    </border>
    <border>
      <left/>
      <right style="thin">
        <color theme="0" tint="-0.34998626667073579"/>
      </right>
      <top/>
      <bottom style="thin">
        <color indexed="64"/>
      </bottom>
      <diagonal/>
    </border>
    <border>
      <left/>
      <right/>
      <top/>
      <bottom style="medium">
        <color indexed="64"/>
      </bottom>
      <diagonal/>
    </border>
    <border>
      <left style="thin">
        <color auto="1"/>
      </left>
      <right style="thin">
        <color auto="1"/>
      </right>
      <top style="thin">
        <color indexed="64"/>
      </top>
      <bottom style="thin">
        <color indexed="64"/>
      </bottom>
      <diagonal/>
    </border>
    <border>
      <left style="thin">
        <color auto="1"/>
      </left>
      <right style="thin">
        <color auto="1"/>
      </right>
      <top style="thin">
        <color indexed="64"/>
      </top>
      <bottom/>
      <diagonal/>
    </border>
    <border>
      <left style="thin">
        <color auto="1"/>
      </left>
      <right style="thin">
        <color auto="1"/>
      </right>
      <top/>
      <bottom style="thin">
        <color indexed="64"/>
      </bottom>
      <diagonal/>
    </border>
    <border>
      <left style="thin">
        <color auto="1"/>
      </left>
      <right style="thin">
        <color auto="1"/>
      </right>
      <top/>
      <bottom/>
      <diagonal/>
    </border>
    <border>
      <left/>
      <right/>
      <top/>
      <bottom style="thin">
        <color theme="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indexed="64"/>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bottom style="thin">
        <color theme="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theme="0" tint="-0.34998626667073579"/>
      </bottom>
      <diagonal/>
    </border>
    <border>
      <left style="thin">
        <color auto="1"/>
      </left>
      <right style="thin">
        <color auto="1"/>
      </right>
      <top style="thin">
        <color indexed="64"/>
      </top>
      <bottom style="thin">
        <color theme="0" tint="-0.34998626667073579"/>
      </bottom>
      <diagonal/>
    </border>
    <border>
      <left style="thin">
        <color indexed="64"/>
      </left>
      <right/>
      <top style="thin">
        <color theme="0" tint="-0.34998626667073579"/>
      </top>
      <bottom style="thin">
        <color theme="0" tint="-0.34998626667073579"/>
      </bottom>
      <diagonal/>
    </border>
    <border>
      <left style="thin">
        <color auto="1"/>
      </left>
      <right style="thin">
        <color auto="1"/>
      </right>
      <top style="thin">
        <color theme="0" tint="-0.34998626667073579"/>
      </top>
      <bottom style="thin">
        <color theme="0" tint="-0.34998626667073579"/>
      </bottom>
      <diagonal/>
    </border>
    <border>
      <left style="thin">
        <color indexed="64"/>
      </left>
      <right/>
      <top style="thin">
        <color theme="0" tint="-0.34998626667073579"/>
      </top>
      <bottom style="thin">
        <color indexed="64"/>
      </bottom>
      <diagonal/>
    </border>
    <border>
      <left style="thin">
        <color auto="1"/>
      </left>
      <right style="thin">
        <color auto="1"/>
      </right>
      <top style="thin">
        <color theme="0" tint="-0.34998626667073579"/>
      </top>
      <bottom style="thin">
        <color indexed="64"/>
      </bottom>
      <diagonal/>
    </border>
    <border>
      <left style="medium">
        <color indexed="64"/>
      </left>
      <right style="thin">
        <color auto="1"/>
      </right>
      <top style="medium">
        <color indexed="64"/>
      </top>
      <bottom style="thin">
        <color indexed="64"/>
      </bottom>
      <diagonal/>
    </border>
    <border>
      <left style="thin">
        <color auto="1"/>
      </left>
      <right style="medium">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theme="0" tint="-0.34998626667073579"/>
      </bottom>
      <diagonal/>
    </border>
    <border>
      <left style="medium">
        <color indexed="64"/>
      </left>
      <right style="medium">
        <color indexed="64"/>
      </right>
      <top style="thin">
        <color theme="0" tint="-0.34998626667073579"/>
      </top>
      <bottom style="thin">
        <color theme="0" tint="-0.34998626667073579"/>
      </bottom>
      <diagonal/>
    </border>
    <border>
      <left style="medium">
        <color indexed="64"/>
      </left>
      <right style="medium">
        <color indexed="64"/>
      </right>
      <top style="thin">
        <color theme="0" tint="-0.34998626667073579"/>
      </top>
      <bottom style="medium">
        <color indexed="64"/>
      </bottom>
      <diagonal/>
    </border>
  </borders>
  <cellStyleXfs count="8">
    <xf numFmtId="0" fontId="0" fillId="0" borderId="0"/>
    <xf numFmtId="44" fontId="1" fillId="0" borderId="0" applyFont="0" applyFill="0" applyBorder="0" applyAlignment="0" applyProtection="0"/>
    <xf numFmtId="0" fontId="6" fillId="0" borderId="0" applyNumberFormat="0" applyFill="0" applyBorder="0" applyAlignment="0" applyProtection="0"/>
    <xf numFmtId="9" fontId="1" fillId="0" borderId="0" applyFont="0" applyFill="0" applyBorder="0" applyAlignment="0" applyProtection="0"/>
    <xf numFmtId="0" fontId="7" fillId="0" borderId="0"/>
    <xf numFmtId="44"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cellStyleXfs>
  <cellXfs count="391">
    <xf numFmtId="0" fontId="0" fillId="0" borderId="0" xfId="0"/>
    <xf numFmtId="0" fontId="3" fillId="0" borderId="0" xfId="0" applyFont="1"/>
    <xf numFmtId="17" fontId="3" fillId="0" borderId="0" xfId="0" quotePrefix="1" applyNumberFormat="1" applyFont="1"/>
    <xf numFmtId="0" fontId="5" fillId="0" borderId="0" xfId="0" applyFont="1"/>
    <xf numFmtId="17" fontId="5" fillId="0" borderId="0" xfId="0" quotePrefix="1" applyNumberFormat="1" applyFont="1"/>
    <xf numFmtId="164" fontId="3" fillId="3" borderId="0" xfId="1" applyNumberFormat="1" applyFont="1" applyFill="1" applyBorder="1"/>
    <xf numFmtId="0" fontId="0" fillId="0" borderId="0" xfId="0" applyAlignment="1">
      <alignment horizontal="right"/>
    </xf>
    <xf numFmtId="164" fontId="2" fillId="2" borderId="1" xfId="1" applyNumberFormat="1" applyFont="1" applyFill="1" applyBorder="1"/>
    <xf numFmtId="164" fontId="4" fillId="2" borderId="2" xfId="1" applyNumberFormat="1" applyFont="1" applyFill="1" applyBorder="1"/>
    <xf numFmtId="164" fontId="4" fillId="2" borderId="3" xfId="1" applyNumberFormat="1" applyFont="1" applyFill="1" applyBorder="1"/>
    <xf numFmtId="164" fontId="3" fillId="3" borderId="4" xfId="1" applyNumberFormat="1" applyFont="1" applyFill="1" applyBorder="1"/>
    <xf numFmtId="164" fontId="3" fillId="3" borderId="5" xfId="1" applyNumberFormat="1" applyFont="1" applyFill="1" applyBorder="1"/>
    <xf numFmtId="0" fontId="0" fillId="0" borderId="9" xfId="0" applyBorder="1"/>
    <xf numFmtId="0" fontId="0" fillId="0" borderId="0" xfId="0" applyAlignment="1">
      <alignment wrapText="1"/>
    </xf>
    <xf numFmtId="0" fontId="0" fillId="0" borderId="4" xfId="0" applyBorder="1"/>
    <xf numFmtId="0" fontId="0" fillId="0" borderId="5" xfId="0" applyBorder="1"/>
    <xf numFmtId="0" fontId="0" fillId="0" borderId="10" xfId="0" applyBorder="1"/>
    <xf numFmtId="0" fontId="0" fillId="0" borderId="11" xfId="0" applyBorder="1"/>
    <xf numFmtId="0" fontId="6" fillId="0" borderId="5" xfId="2" applyBorder="1"/>
    <xf numFmtId="0" fontId="0" fillId="0" borderId="5" xfId="0" applyBorder="1" applyAlignment="1">
      <alignment wrapText="1"/>
    </xf>
    <xf numFmtId="0" fontId="0" fillId="0" borderId="6" xfId="0" applyBorder="1"/>
    <xf numFmtId="0" fontId="0" fillId="0" borderId="7" xfId="0" applyBorder="1"/>
    <xf numFmtId="0" fontId="0" fillId="0" borderId="8" xfId="0" applyBorder="1"/>
    <xf numFmtId="0" fontId="3" fillId="0" borderId="12" xfId="0" applyFont="1" applyBorder="1"/>
    <xf numFmtId="0" fontId="3" fillId="0" borderId="13" xfId="0" applyFont="1" applyBorder="1"/>
    <xf numFmtId="0" fontId="3" fillId="0" borderId="14"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applyAlignment="1">
      <alignment wrapText="1"/>
    </xf>
    <xf numFmtId="0" fontId="0" fillId="0" borderId="20" xfId="0" applyBorder="1"/>
    <xf numFmtId="0" fontId="0" fillId="0" borderId="21" xfId="0" applyBorder="1" applyAlignment="1">
      <alignment wrapText="1"/>
    </xf>
    <xf numFmtId="0" fontId="0" fillId="0" borderId="22" xfId="0" applyBorder="1"/>
    <xf numFmtId="0" fontId="0" fillId="0" borderId="23" xfId="0" applyBorder="1" applyAlignment="1">
      <alignment wrapText="1"/>
    </xf>
    <xf numFmtId="0" fontId="0" fillId="0" borderId="24" xfId="0" applyBorder="1"/>
    <xf numFmtId="0" fontId="0" fillId="0" borderId="25" xfId="0" applyBorder="1"/>
    <xf numFmtId="0" fontId="0" fillId="0" borderId="26" xfId="0" applyBorder="1" applyAlignment="1">
      <alignment wrapText="1"/>
    </xf>
    <xf numFmtId="0" fontId="0" fillId="0" borderId="18" xfId="0" applyBorder="1" applyAlignment="1">
      <alignment wrapText="1"/>
    </xf>
    <xf numFmtId="0" fontId="0" fillId="0" borderId="15" xfId="0" applyBorder="1" applyAlignment="1">
      <alignment wrapText="1"/>
    </xf>
    <xf numFmtId="0" fontId="0" fillId="0" borderId="20" xfId="0" applyBorder="1" applyAlignment="1">
      <alignment wrapText="1"/>
    </xf>
    <xf numFmtId="0" fontId="0" fillId="0" borderId="16" xfId="0" applyBorder="1" applyAlignment="1">
      <alignment wrapText="1"/>
    </xf>
    <xf numFmtId="0" fontId="0" fillId="0" borderId="22" xfId="0" applyBorder="1" applyAlignment="1">
      <alignment wrapText="1"/>
    </xf>
    <xf numFmtId="0" fontId="0" fillId="0" borderId="17"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7" fillId="0" borderId="0" xfId="4" applyAlignment="1">
      <alignment wrapText="1"/>
    </xf>
    <xf numFmtId="165" fontId="7" fillId="0" borderId="0" xfId="4" applyNumberFormat="1" applyAlignment="1">
      <alignment wrapText="1"/>
    </xf>
    <xf numFmtId="0" fontId="7" fillId="0" borderId="0" xfId="4"/>
    <xf numFmtId="165" fontId="7" fillId="0" borderId="0" xfId="4" applyNumberFormat="1"/>
    <xf numFmtId="0" fontId="8" fillId="0" borderId="0" xfId="4" applyFont="1"/>
    <xf numFmtId="0" fontId="9" fillId="0" borderId="0" xfId="4" applyFont="1"/>
    <xf numFmtId="44" fontId="0" fillId="0" borderId="0" xfId="0" applyNumberFormat="1"/>
    <xf numFmtId="9" fontId="0" fillId="0" borderId="0" xfId="3" applyFont="1"/>
    <xf numFmtId="9" fontId="0" fillId="0" borderId="0" xfId="0" applyNumberFormat="1"/>
    <xf numFmtId="9" fontId="0" fillId="0" borderId="7" xfId="3" applyFont="1" applyBorder="1"/>
    <xf numFmtId="9" fontId="10" fillId="0" borderId="0" xfId="3" applyFont="1"/>
    <xf numFmtId="9" fontId="10" fillId="0" borderId="7" xfId="3" applyFont="1" applyBorder="1"/>
    <xf numFmtId="9" fontId="10" fillId="0" borderId="0" xfId="0" applyNumberFormat="1" applyFont="1"/>
    <xf numFmtId="0" fontId="0" fillId="0" borderId="0" xfId="0" applyAlignment="1">
      <alignment horizontal="center"/>
    </xf>
    <xf numFmtId="2" fontId="0" fillId="0" borderId="0" xfId="0" applyNumberFormat="1"/>
    <xf numFmtId="2" fontId="0" fillId="0" borderId="7" xfId="0" applyNumberFormat="1" applyBorder="1"/>
    <xf numFmtId="165" fontId="9" fillId="0" borderId="0" xfId="4" applyNumberFormat="1" applyFont="1"/>
    <xf numFmtId="0" fontId="11" fillId="0" borderId="0" xfId="4" applyFont="1"/>
    <xf numFmtId="44" fontId="0" fillId="0" borderId="0" xfId="5" applyFont="1" applyFill="1"/>
    <xf numFmtId="44" fontId="8" fillId="0" borderId="0" xfId="5" applyFont="1" applyFill="1"/>
    <xf numFmtId="2" fontId="9" fillId="0" borderId="0" xfId="5" applyNumberFormat="1" applyFont="1" applyFill="1"/>
    <xf numFmtId="43" fontId="8" fillId="0" borderId="0" xfId="6" applyFont="1" applyFill="1"/>
    <xf numFmtId="1" fontId="0" fillId="0" borderId="0" xfId="6" applyNumberFormat="1" applyFont="1" applyFill="1"/>
    <xf numFmtId="1" fontId="7" fillId="0" borderId="0" xfId="4" applyNumberFormat="1"/>
    <xf numFmtId="49" fontId="8" fillId="0" borderId="0" xfId="4" applyNumberFormat="1" applyFont="1"/>
    <xf numFmtId="44" fontId="7" fillId="0" borderId="0" xfId="5" applyFont="1" applyFill="1" applyAlignment="1">
      <alignment wrapText="1"/>
    </xf>
    <xf numFmtId="1" fontId="7" fillId="0" borderId="0" xfId="6" applyNumberFormat="1" applyFont="1" applyFill="1" applyAlignment="1">
      <alignment wrapText="1"/>
    </xf>
    <xf numFmtId="1" fontId="7" fillId="0" borderId="0" xfId="4" applyNumberFormat="1" applyAlignment="1">
      <alignment wrapText="1"/>
    </xf>
    <xf numFmtId="49" fontId="9" fillId="0" borderId="0" xfId="4" applyNumberFormat="1" applyFont="1"/>
    <xf numFmtId="44" fontId="9" fillId="0" borderId="0" xfId="1" applyFont="1"/>
    <xf numFmtId="44" fontId="9" fillId="0" borderId="0" xfId="5" applyFont="1" applyFill="1"/>
    <xf numFmtId="49" fontId="7" fillId="0" borderId="0" xfId="4" applyNumberFormat="1"/>
    <xf numFmtId="44" fontId="7" fillId="0" borderId="0" xfId="4" applyNumberFormat="1"/>
    <xf numFmtId="44" fontId="7" fillId="0" borderId="0" xfId="5" applyFont="1" applyFill="1"/>
    <xf numFmtId="44" fontId="9" fillId="0" borderId="0" xfId="4" applyNumberFormat="1" applyFont="1"/>
    <xf numFmtId="44" fontId="12" fillId="0" borderId="0" xfId="5" applyFont="1" applyFill="1"/>
    <xf numFmtId="0" fontId="7" fillId="0" borderId="0" xfId="0" applyFont="1"/>
    <xf numFmtId="0" fontId="13" fillId="4" borderId="0" xfId="4" applyFont="1" applyFill="1" applyAlignment="1">
      <alignment wrapText="1"/>
    </xf>
    <xf numFmtId="0" fontId="13" fillId="4" borderId="0" xfId="0" applyFont="1" applyFill="1" applyAlignment="1">
      <alignment horizontal="centerContinuous" wrapText="1"/>
    </xf>
    <xf numFmtId="0" fontId="13" fillId="4" borderId="0" xfId="0" applyFont="1" applyFill="1" applyAlignment="1">
      <alignment horizontal="center" wrapText="1"/>
    </xf>
    <xf numFmtId="0" fontId="13" fillId="4" borderId="0" xfId="0" applyFont="1" applyFill="1" applyAlignment="1">
      <alignment horizontal="centerContinuous" vertical="top" wrapText="1"/>
    </xf>
    <xf numFmtId="0" fontId="13" fillId="4" borderId="0" xfId="0" applyFont="1" applyFill="1" applyAlignment="1">
      <alignment horizontal="center" vertical="top" wrapText="1"/>
    </xf>
    <xf numFmtId="0" fontId="13" fillId="4" borderId="33" xfId="4" applyFont="1" applyFill="1" applyBorder="1" applyAlignment="1">
      <alignment wrapText="1"/>
    </xf>
    <xf numFmtId="0" fontId="7" fillId="0" borderId="1" xfId="0" applyFont="1" applyBorder="1"/>
    <xf numFmtId="0" fontId="7" fillId="0" borderId="6" xfId="0" applyFont="1" applyBorder="1"/>
    <xf numFmtId="0" fontId="7" fillId="0" borderId="4" xfId="0" applyFont="1" applyBorder="1"/>
    <xf numFmtId="9" fontId="0" fillId="0" borderId="2" xfId="0" applyNumberFormat="1" applyBorder="1" applyAlignment="1">
      <alignment horizontal="center"/>
    </xf>
    <xf numFmtId="2" fontId="0" fillId="0" borderId="3" xfId="0" applyNumberFormat="1" applyBorder="1" applyAlignment="1">
      <alignment horizontal="center"/>
    </xf>
    <xf numFmtId="9" fontId="0" fillId="0" borderId="7" xfId="0" applyNumberFormat="1" applyBorder="1" applyAlignment="1">
      <alignment horizontal="center"/>
    </xf>
    <xf numFmtId="2" fontId="0" fillId="0" borderId="8" xfId="0" applyNumberFormat="1" applyBorder="1" applyAlignment="1">
      <alignment horizontal="center"/>
    </xf>
    <xf numFmtId="0" fontId="0" fillId="0" borderId="2" xfId="0" applyBorder="1" applyAlignment="1">
      <alignment horizontal="center"/>
    </xf>
    <xf numFmtId="0" fontId="0" fillId="0" borderId="7" xfId="0" applyBorder="1" applyAlignment="1">
      <alignment horizontal="center"/>
    </xf>
    <xf numFmtId="9" fontId="0" fillId="0" borderId="0" xfId="0" applyNumberFormat="1" applyAlignment="1">
      <alignment horizontal="center"/>
    </xf>
    <xf numFmtId="2" fontId="0" fillId="0" borderId="5" xfId="0" applyNumberFormat="1" applyBorder="1" applyAlignment="1">
      <alignment horizontal="center"/>
    </xf>
    <xf numFmtId="0" fontId="7" fillId="5" borderId="4" xfId="0" applyFont="1" applyFill="1" applyBorder="1"/>
    <xf numFmtId="9" fontId="0" fillId="5" borderId="0" xfId="0" applyNumberFormat="1" applyFill="1" applyAlignment="1">
      <alignment horizontal="center"/>
    </xf>
    <xf numFmtId="2" fontId="0" fillId="5" borderId="5" xfId="0" applyNumberFormat="1" applyFill="1" applyBorder="1" applyAlignment="1">
      <alignment horizontal="center"/>
    </xf>
    <xf numFmtId="44" fontId="0" fillId="0" borderId="34" xfId="0" applyNumberFormat="1" applyBorder="1" applyAlignment="1">
      <alignment horizontal="center"/>
    </xf>
    <xf numFmtId="44" fontId="0" fillId="0" borderId="35" xfId="0" applyNumberFormat="1" applyBorder="1" applyAlignment="1">
      <alignment horizontal="center"/>
    </xf>
    <xf numFmtId="44" fontId="0" fillId="0" borderId="36" xfId="0" applyNumberFormat="1" applyBorder="1" applyAlignment="1">
      <alignment horizontal="center"/>
    </xf>
    <xf numFmtId="44" fontId="0" fillId="0" borderId="37" xfId="0" applyNumberFormat="1" applyBorder="1" applyAlignment="1">
      <alignment horizontal="center"/>
    </xf>
    <xf numFmtId="44" fontId="0" fillId="5" borderId="36" xfId="0" applyNumberFormat="1" applyFill="1" applyBorder="1" applyAlignment="1">
      <alignment horizontal="center"/>
    </xf>
    <xf numFmtId="44" fontId="0" fillId="5" borderId="37" xfId="0" applyNumberFormat="1" applyFill="1" applyBorder="1" applyAlignment="1">
      <alignment horizontal="center"/>
    </xf>
    <xf numFmtId="2" fontId="0" fillId="0" borderId="34" xfId="0" applyNumberFormat="1" applyBorder="1" applyAlignment="1">
      <alignment horizontal="center"/>
    </xf>
    <xf numFmtId="2" fontId="0" fillId="0" borderId="36" xfId="0" applyNumberFormat="1" applyBorder="1" applyAlignment="1">
      <alignment horizontal="center"/>
    </xf>
    <xf numFmtId="2" fontId="0" fillId="5" borderId="36" xfId="0" applyNumberFormat="1" applyFill="1" applyBorder="1" applyAlignment="1">
      <alignment horizontal="center"/>
    </xf>
    <xf numFmtId="0" fontId="0" fillId="5" borderId="0" xfId="0" applyFill="1" applyAlignment="1">
      <alignment horizontal="center"/>
    </xf>
    <xf numFmtId="0" fontId="13" fillId="4" borderId="0" xfId="4" applyFont="1" applyFill="1" applyAlignment="1">
      <alignment horizontal="center" wrapText="1"/>
    </xf>
    <xf numFmtId="44" fontId="0" fillId="0" borderId="38" xfId="0" applyNumberFormat="1" applyBorder="1" applyAlignment="1">
      <alignment horizontal="center"/>
    </xf>
    <xf numFmtId="44" fontId="0" fillId="0" borderId="39" xfId="0" applyNumberFormat="1" applyBorder="1" applyAlignment="1">
      <alignment horizontal="center"/>
    </xf>
    <xf numFmtId="9" fontId="0" fillId="0" borderId="0" xfId="3" applyFont="1" applyBorder="1" applyAlignment="1">
      <alignment horizontal="center"/>
    </xf>
    <xf numFmtId="2" fontId="0" fillId="0" borderId="38" xfId="0" applyNumberFormat="1" applyBorder="1" applyAlignment="1">
      <alignment horizontal="center"/>
    </xf>
    <xf numFmtId="49" fontId="14" fillId="0" borderId="0" xfId="0" applyNumberFormat="1" applyFont="1"/>
    <xf numFmtId="49" fontId="15" fillId="0" borderId="0" xfId="0" applyNumberFormat="1" applyFont="1" applyAlignment="1">
      <alignment horizontal="left"/>
    </xf>
    <xf numFmtId="49" fontId="16" fillId="0" borderId="0" xfId="0" applyNumberFormat="1" applyFont="1"/>
    <xf numFmtId="3" fontId="17" fillId="0" borderId="0" xfId="0" applyNumberFormat="1" applyFont="1" applyAlignment="1">
      <alignment horizontal="left"/>
    </xf>
    <xf numFmtId="164" fontId="0" fillId="0" borderId="0" xfId="1" applyNumberFormat="1" applyFont="1"/>
    <xf numFmtId="164" fontId="0" fillId="0" borderId="7" xfId="1" applyNumberFormat="1" applyFont="1" applyBorder="1"/>
    <xf numFmtId="164" fontId="0" fillId="0" borderId="0" xfId="0" applyNumberFormat="1"/>
    <xf numFmtId="164" fontId="0" fillId="0" borderId="7" xfId="0" applyNumberFormat="1" applyBorder="1"/>
    <xf numFmtId="166" fontId="0" fillId="0" borderId="0" xfId="0" applyNumberFormat="1"/>
    <xf numFmtId="0" fontId="20" fillId="0" borderId="0" xfId="0" applyFont="1"/>
    <xf numFmtId="0" fontId="21" fillId="0" borderId="0" xfId="0" applyFont="1"/>
    <xf numFmtId="17" fontId="20" fillId="0" borderId="0" xfId="0" quotePrefix="1" applyNumberFormat="1" applyFont="1"/>
    <xf numFmtId="166" fontId="21" fillId="0" borderId="0" xfId="7" applyNumberFormat="1" applyFont="1"/>
    <xf numFmtId="0" fontId="21" fillId="0" borderId="7" xfId="0" applyFont="1" applyBorder="1"/>
    <xf numFmtId="166" fontId="21" fillId="0" borderId="7" xfId="7" applyNumberFormat="1" applyFont="1" applyBorder="1"/>
    <xf numFmtId="0" fontId="25" fillId="0" borderId="0" xfId="0" applyFont="1"/>
    <xf numFmtId="0" fontId="4" fillId="8" borderId="45" xfId="0" applyFont="1" applyFill="1" applyBorder="1" applyAlignment="1">
      <alignment horizontal="centerContinuous"/>
    </xf>
    <xf numFmtId="0" fontId="23" fillId="8" borderId="45" xfId="0" applyFont="1" applyFill="1" applyBorder="1" applyAlignment="1">
      <alignment horizontal="centerContinuous"/>
    </xf>
    <xf numFmtId="0" fontId="22" fillId="0" borderId="0" xfId="0" applyFont="1" applyAlignment="1">
      <alignment horizontal="center"/>
    </xf>
    <xf numFmtId="0" fontId="4" fillId="8" borderId="0" xfId="0" applyFont="1" applyFill="1" applyAlignment="1">
      <alignment horizontal="center"/>
    </xf>
    <xf numFmtId="0" fontId="21" fillId="0" borderId="0" xfId="0" applyFont="1" applyAlignment="1">
      <alignment horizontal="left"/>
    </xf>
    <xf numFmtId="0" fontId="4" fillId="8" borderId="0" xfId="0" applyFont="1" applyFill="1" applyAlignment="1">
      <alignment horizontal="left"/>
    </xf>
    <xf numFmtId="0" fontId="4" fillId="8" borderId="0" xfId="0" applyFont="1" applyFill="1" applyAlignment="1">
      <alignment horizontal="left" wrapText="1"/>
    </xf>
    <xf numFmtId="0" fontId="4" fillId="8" borderId="0" xfId="0" applyFont="1" applyFill="1" applyAlignment="1">
      <alignment horizontal="center" wrapText="1"/>
    </xf>
    <xf numFmtId="166" fontId="21" fillId="0" borderId="0" xfId="7" applyNumberFormat="1" applyFont="1" applyAlignment="1">
      <alignment horizontal="center"/>
    </xf>
    <xf numFmtId="166" fontId="21" fillId="0" borderId="7" xfId="7" applyNumberFormat="1" applyFont="1" applyBorder="1" applyAlignment="1">
      <alignment horizontal="center"/>
    </xf>
    <xf numFmtId="166" fontId="20" fillId="0" borderId="0" xfId="0" applyNumberFormat="1" applyFont="1" applyAlignment="1">
      <alignment horizontal="center"/>
    </xf>
    <xf numFmtId="166" fontId="21" fillId="0" borderId="0" xfId="7" applyNumberFormat="1" applyFont="1" applyAlignment="1"/>
    <xf numFmtId="166" fontId="21" fillId="0" borderId="7" xfId="7" applyNumberFormat="1" applyFont="1" applyBorder="1" applyAlignment="1"/>
    <xf numFmtId="166" fontId="20" fillId="0" borderId="0" xfId="0" applyNumberFormat="1" applyFont="1"/>
    <xf numFmtId="17" fontId="20" fillId="0" borderId="0" xfId="0" applyNumberFormat="1" applyFont="1"/>
    <xf numFmtId="166" fontId="20" fillId="0" borderId="0" xfId="7" applyNumberFormat="1" applyFont="1"/>
    <xf numFmtId="0" fontId="21" fillId="0" borderId="40" xfId="0" applyFont="1" applyBorder="1"/>
    <xf numFmtId="0" fontId="4" fillId="8" borderId="0" xfId="0" applyFont="1" applyFill="1" applyAlignment="1">
      <alignment horizontal="centerContinuous" wrapText="1"/>
    </xf>
    <xf numFmtId="0" fontId="20" fillId="0" borderId="46" xfId="0" applyFont="1" applyBorder="1" applyAlignment="1">
      <alignment horizontal="center"/>
    </xf>
    <xf numFmtId="0" fontId="20" fillId="0" borderId="0" xfId="0" applyFont="1" applyAlignment="1">
      <alignment wrapText="1"/>
    </xf>
    <xf numFmtId="0" fontId="22" fillId="0" borderId="47" xfId="0" applyFont="1" applyBorder="1" applyAlignment="1">
      <alignment horizontal="center"/>
    </xf>
    <xf numFmtId="0" fontId="22" fillId="0" borderId="46" xfId="0" applyFont="1" applyBorder="1" applyAlignment="1">
      <alignment horizontal="center"/>
    </xf>
    <xf numFmtId="0" fontId="22" fillId="0" borderId="48" xfId="0" applyFont="1" applyBorder="1" applyAlignment="1">
      <alignment horizontal="center"/>
    </xf>
    <xf numFmtId="0" fontId="22" fillId="0" borderId="49" xfId="0" applyFont="1" applyBorder="1" applyAlignment="1">
      <alignment horizontal="center"/>
    </xf>
    <xf numFmtId="9" fontId="21" fillId="0" borderId="0" xfId="3" applyFont="1"/>
    <xf numFmtId="9" fontId="20" fillId="0" borderId="0" xfId="3" applyFont="1"/>
    <xf numFmtId="0" fontId="4" fillId="8" borderId="0" xfId="0" applyFont="1" applyFill="1" applyAlignment="1">
      <alignment horizontal="centerContinuous" vertical="top" wrapText="1"/>
    </xf>
    <xf numFmtId="0" fontId="24" fillId="0" borderId="0" xfId="0" applyFont="1" applyAlignment="1">
      <alignment horizontal="left"/>
    </xf>
    <xf numFmtId="0" fontId="24" fillId="0" borderId="0" xfId="0" applyFont="1" applyAlignment="1">
      <alignment horizontal="left" wrapText="1"/>
    </xf>
    <xf numFmtId="0" fontId="21" fillId="0" borderId="4" xfId="0" applyFont="1" applyBorder="1"/>
    <xf numFmtId="164" fontId="21" fillId="0" borderId="0" xfId="1" applyNumberFormat="1" applyFont="1"/>
    <xf numFmtId="0" fontId="24" fillId="0" borderId="0" xfId="0" applyFont="1" applyAlignment="1">
      <alignment horizontal="left" vertical="top" wrapText="1"/>
    </xf>
    <xf numFmtId="0" fontId="24" fillId="0" borderId="0" xfId="0" applyFont="1" applyAlignment="1">
      <alignment horizontal="left" vertical="top"/>
    </xf>
    <xf numFmtId="9" fontId="26" fillId="0" borderId="0" xfId="3" applyFont="1"/>
    <xf numFmtId="164" fontId="21" fillId="0" borderId="4" xfId="1" applyNumberFormat="1" applyFont="1" applyBorder="1"/>
    <xf numFmtId="9" fontId="26" fillId="0" borderId="0" xfId="3" applyFont="1" applyBorder="1"/>
    <xf numFmtId="9" fontId="21" fillId="0" borderId="0" xfId="3" applyFont="1" applyBorder="1"/>
    <xf numFmtId="164" fontId="21" fillId="0" borderId="0" xfId="1" applyNumberFormat="1" applyFont="1" applyAlignment="1">
      <alignment horizontal="right"/>
    </xf>
    <xf numFmtId="0" fontId="20" fillId="0" borderId="7" xfId="0" applyFont="1" applyBorder="1"/>
    <xf numFmtId="164" fontId="21" fillId="0" borderId="6" xfId="1" applyNumberFormat="1" applyFont="1" applyBorder="1"/>
    <xf numFmtId="9" fontId="26" fillId="0" borderId="7" xfId="3" applyFont="1" applyBorder="1"/>
    <xf numFmtId="164" fontId="21" fillId="0" borderId="7" xfId="1" applyNumberFormat="1" applyFont="1" applyBorder="1"/>
    <xf numFmtId="9" fontId="21" fillId="0" borderId="7" xfId="3" applyFont="1" applyBorder="1"/>
    <xf numFmtId="164" fontId="21" fillId="0" borderId="7" xfId="1" applyNumberFormat="1" applyFont="1" applyBorder="1" applyAlignment="1">
      <alignment horizontal="right"/>
    </xf>
    <xf numFmtId="164" fontId="21" fillId="0" borderId="4" xfId="0" applyNumberFormat="1" applyFont="1" applyBorder="1"/>
    <xf numFmtId="9" fontId="26" fillId="0" borderId="0" xfId="0" applyNumberFormat="1" applyFont="1"/>
    <xf numFmtId="9" fontId="21" fillId="0" borderId="0" xfId="0" applyNumberFormat="1" applyFont="1"/>
    <xf numFmtId="9" fontId="21" fillId="0" borderId="0" xfId="3" applyFont="1" applyFill="1" applyBorder="1"/>
    <xf numFmtId="9" fontId="26" fillId="0" borderId="0" xfId="3" applyFont="1" applyFill="1" applyBorder="1"/>
    <xf numFmtId="0" fontId="26" fillId="0" borderId="0" xfId="0" applyFont="1"/>
    <xf numFmtId="0" fontId="25" fillId="0" borderId="0" xfId="0" applyFont="1" applyAlignment="1">
      <alignment horizontal="left"/>
    </xf>
    <xf numFmtId="164" fontId="21" fillId="0" borderId="0" xfId="0" applyNumberFormat="1" applyFont="1"/>
    <xf numFmtId="0" fontId="21" fillId="0" borderId="8" xfId="0" applyFont="1" applyBorder="1"/>
    <xf numFmtId="0" fontId="21" fillId="0" borderId="5" xfId="0" applyFont="1" applyBorder="1"/>
    <xf numFmtId="164" fontId="22" fillId="0" borderId="0" xfId="1" applyNumberFormat="1" applyFont="1"/>
    <xf numFmtId="2" fontId="21" fillId="0" borderId="4" xfId="0" applyNumberFormat="1" applyFont="1" applyBorder="1"/>
    <xf numFmtId="2" fontId="21" fillId="0" borderId="0" xfId="0" applyNumberFormat="1" applyFont="1"/>
    <xf numFmtId="2" fontId="21" fillId="0" borderId="6" xfId="0" applyNumberFormat="1" applyFont="1" applyBorder="1"/>
    <xf numFmtId="2" fontId="21" fillId="0" borderId="7" xfId="0" applyNumberFormat="1" applyFont="1" applyBorder="1"/>
    <xf numFmtId="164" fontId="21" fillId="0" borderId="0" xfId="3" applyNumberFormat="1" applyFont="1"/>
    <xf numFmtId="43" fontId="21" fillId="0" borderId="0" xfId="0" applyNumberFormat="1" applyFont="1"/>
    <xf numFmtId="164" fontId="20" fillId="0" borderId="0" xfId="0" applyNumberFormat="1" applyFont="1"/>
    <xf numFmtId="0" fontId="21" fillId="0" borderId="0" xfId="0" applyFont="1" applyAlignment="1">
      <alignment wrapText="1"/>
    </xf>
    <xf numFmtId="44" fontId="21" fillId="0" borderId="0" xfId="1" applyFont="1"/>
    <xf numFmtId="0" fontId="21" fillId="0" borderId="0" xfId="0" applyFont="1" applyAlignment="1">
      <alignment horizontal="centerContinuous" wrapText="1"/>
    </xf>
    <xf numFmtId="166" fontId="21" fillId="0" borderId="0" xfId="7" applyNumberFormat="1" applyFont="1" applyBorder="1" applyAlignment="1"/>
    <xf numFmtId="164" fontId="21" fillId="0" borderId="0" xfId="1" applyNumberFormat="1" applyFont="1" applyBorder="1" applyAlignment="1"/>
    <xf numFmtId="164" fontId="21" fillId="0" borderId="7" xfId="1" applyNumberFormat="1" applyFont="1" applyBorder="1" applyAlignment="1"/>
    <xf numFmtId="164" fontId="20" fillId="0" borderId="0" xfId="1" applyNumberFormat="1" applyFont="1" applyAlignment="1"/>
    <xf numFmtId="164" fontId="20" fillId="0" borderId="0" xfId="1" applyNumberFormat="1" applyFont="1" applyAlignment="1">
      <alignment horizontal="center"/>
    </xf>
    <xf numFmtId="0" fontId="20" fillId="0" borderId="0" xfId="0" applyFont="1" applyAlignment="1">
      <alignment horizontal="right"/>
    </xf>
    <xf numFmtId="0" fontId="21" fillId="0" borderId="50" xfId="0" applyFont="1" applyBorder="1"/>
    <xf numFmtId="164" fontId="21" fillId="0" borderId="50" xfId="0" applyNumberFormat="1" applyFont="1" applyBorder="1"/>
    <xf numFmtId="9" fontId="21" fillId="0" borderId="50" xfId="3" applyFont="1" applyBorder="1"/>
    <xf numFmtId="9" fontId="21" fillId="0" borderId="50" xfId="0" applyNumberFormat="1" applyFont="1" applyBorder="1"/>
    <xf numFmtId="9" fontId="20" fillId="0" borderId="0" xfId="0" applyNumberFormat="1" applyFont="1"/>
    <xf numFmtId="0" fontId="4" fillId="8" borderId="0" xfId="0" applyFont="1" applyFill="1"/>
    <xf numFmtId="0" fontId="4" fillId="8" borderId="45" xfId="0" applyFont="1" applyFill="1" applyBorder="1"/>
    <xf numFmtId="0" fontId="23" fillId="8" borderId="45" xfId="0" applyFont="1" applyFill="1" applyBorder="1"/>
    <xf numFmtId="0" fontId="22" fillId="0" borderId="41" xfId="0" applyFont="1" applyBorder="1" applyAlignment="1">
      <alignment horizontal="center"/>
    </xf>
    <xf numFmtId="164" fontId="22" fillId="0" borderId="41" xfId="1" applyNumberFormat="1" applyFont="1" applyBorder="1" applyAlignment="1">
      <alignment horizontal="center"/>
    </xf>
    <xf numFmtId="17" fontId="21" fillId="0" borderId="0" xfId="0" applyNumberFormat="1" applyFont="1"/>
    <xf numFmtId="9" fontId="22" fillId="0" borderId="0" xfId="3" applyFont="1" applyAlignment="1">
      <alignment horizontal="center"/>
    </xf>
    <xf numFmtId="9" fontId="22" fillId="0" borderId="1" xfId="3" applyFont="1" applyBorder="1" applyAlignment="1">
      <alignment horizontal="center"/>
    </xf>
    <xf numFmtId="9" fontId="22" fillId="0" borderId="4" xfId="3" applyFont="1" applyBorder="1" applyAlignment="1">
      <alignment horizontal="center"/>
    </xf>
    <xf numFmtId="9" fontId="22" fillId="0" borderId="6" xfId="3" applyFont="1" applyBorder="1" applyAlignment="1">
      <alignment horizontal="center"/>
    </xf>
    <xf numFmtId="9" fontId="22" fillId="0" borderId="42" xfId="3" applyFont="1" applyBorder="1" applyAlignment="1">
      <alignment horizontal="center"/>
    </xf>
    <xf numFmtId="9" fontId="22" fillId="0" borderId="44" xfId="3" applyFont="1" applyBorder="1" applyAlignment="1">
      <alignment horizontal="center"/>
    </xf>
    <xf numFmtId="9" fontId="22" fillId="0" borderId="43" xfId="3" applyFont="1" applyBorder="1" applyAlignment="1">
      <alignment horizontal="center"/>
    </xf>
    <xf numFmtId="9" fontId="21" fillId="0" borderId="51" xfId="3" applyFont="1" applyBorder="1"/>
    <xf numFmtId="9" fontId="22" fillId="0" borderId="7" xfId="3" applyFont="1" applyBorder="1" applyAlignment="1">
      <alignment horizontal="center"/>
    </xf>
    <xf numFmtId="9" fontId="20" fillId="0" borderId="0" xfId="3" applyFont="1" applyAlignment="1">
      <alignment horizontal="center"/>
    </xf>
    <xf numFmtId="9" fontId="21" fillId="0" borderId="0" xfId="3" applyFont="1" applyAlignment="1">
      <alignment horizontal="center"/>
    </xf>
    <xf numFmtId="9" fontId="21" fillId="0" borderId="7" xfId="3" applyFont="1" applyBorder="1" applyAlignment="1">
      <alignment horizontal="center"/>
    </xf>
    <xf numFmtId="0" fontId="21" fillId="0" borderId="0" xfId="3" applyNumberFormat="1" applyFont="1" applyAlignment="1">
      <alignment horizontal="center"/>
    </xf>
    <xf numFmtId="0" fontId="21" fillId="0" borderId="7" xfId="3" applyNumberFormat="1" applyFont="1" applyBorder="1" applyAlignment="1">
      <alignment horizontal="center"/>
    </xf>
    <xf numFmtId="9" fontId="22" fillId="0" borderId="41" xfId="3" applyFont="1" applyBorder="1" applyAlignment="1">
      <alignment horizontal="center"/>
    </xf>
    <xf numFmtId="0" fontId="22" fillId="0" borderId="43" xfId="0" applyFont="1" applyBorder="1" applyAlignment="1">
      <alignment horizontal="center"/>
    </xf>
    <xf numFmtId="0" fontId="22" fillId="0" borderId="42" xfId="0" applyFont="1" applyBorder="1" applyAlignment="1">
      <alignment horizontal="center"/>
    </xf>
    <xf numFmtId="0" fontId="22" fillId="0" borderId="44" xfId="0" applyFont="1" applyBorder="1" applyAlignment="1">
      <alignment horizontal="center"/>
    </xf>
    <xf numFmtId="166" fontId="21" fillId="0" borderId="0" xfId="7" applyNumberFormat="1" applyFont="1" applyBorder="1"/>
    <xf numFmtId="44" fontId="21" fillId="0" borderId="0" xfId="0" applyNumberFormat="1" applyFont="1"/>
    <xf numFmtId="0" fontId="4" fillId="8" borderId="0" xfId="0" applyFont="1" applyFill="1" applyAlignment="1">
      <alignment horizontal="centerContinuous"/>
    </xf>
    <xf numFmtId="166" fontId="21" fillId="0" borderId="0" xfId="0" applyNumberFormat="1" applyFont="1"/>
    <xf numFmtId="43" fontId="21" fillId="0" borderId="0" xfId="7" applyFont="1" applyAlignment="1"/>
    <xf numFmtId="43" fontId="21" fillId="0" borderId="7" xfId="7" applyFont="1" applyBorder="1" applyAlignment="1"/>
    <xf numFmtId="43" fontId="20" fillId="0" borderId="0" xfId="0" applyNumberFormat="1" applyFont="1"/>
    <xf numFmtId="164" fontId="21" fillId="0" borderId="0" xfId="1" applyNumberFormat="1" applyFont="1" applyAlignment="1">
      <alignment horizontal="center"/>
    </xf>
    <xf numFmtId="164" fontId="20" fillId="0" borderId="0" xfId="1" applyNumberFormat="1" applyFont="1"/>
    <xf numFmtId="166" fontId="21" fillId="0" borderId="7" xfId="0" applyNumberFormat="1" applyFont="1" applyBorder="1"/>
    <xf numFmtId="164" fontId="21" fillId="0" borderId="7" xfId="0" applyNumberFormat="1" applyFont="1" applyBorder="1"/>
    <xf numFmtId="166" fontId="20" fillId="0" borderId="7" xfId="0" applyNumberFormat="1" applyFont="1" applyBorder="1"/>
    <xf numFmtId="164" fontId="20" fillId="0" borderId="7" xfId="1" applyNumberFormat="1" applyFont="1" applyBorder="1"/>
    <xf numFmtId="164" fontId="21" fillId="0" borderId="0" xfId="1" applyNumberFormat="1" applyFont="1" applyBorder="1"/>
    <xf numFmtId="166" fontId="20" fillId="0" borderId="7" xfId="7" applyNumberFormat="1" applyFont="1" applyBorder="1"/>
    <xf numFmtId="166" fontId="20" fillId="0" borderId="0" xfId="7" applyNumberFormat="1" applyFont="1" applyAlignment="1">
      <alignment horizontal="center"/>
    </xf>
    <xf numFmtId="164" fontId="20" fillId="0" borderId="2" xfId="1" applyNumberFormat="1" applyFont="1" applyBorder="1"/>
    <xf numFmtId="166" fontId="20" fillId="0" borderId="2" xfId="7" applyNumberFormat="1" applyFont="1" applyBorder="1"/>
    <xf numFmtId="0" fontId="4" fillId="8" borderId="1" xfId="0" applyFont="1" applyFill="1" applyBorder="1" applyAlignment="1">
      <alignment horizontal="centerContinuous" wrapText="1"/>
    </xf>
    <xf numFmtId="0" fontId="4" fillId="8" borderId="3" xfId="0" applyFont="1" applyFill="1" applyBorder="1" applyAlignment="1">
      <alignment horizontal="centerContinuous" wrapText="1"/>
    </xf>
    <xf numFmtId="164" fontId="21" fillId="0" borderId="5" xfId="1" applyNumberFormat="1" applyFont="1" applyBorder="1"/>
    <xf numFmtId="0" fontId="21" fillId="0" borderId="6" xfId="0" applyFont="1" applyBorder="1"/>
    <xf numFmtId="164" fontId="21" fillId="0" borderId="8" xfId="1" applyNumberFormat="1" applyFont="1" applyBorder="1"/>
    <xf numFmtId="0" fontId="20" fillId="0" borderId="52" xfId="0" applyFont="1" applyBorder="1" applyAlignment="1">
      <alignment horizontal="right"/>
    </xf>
    <xf numFmtId="164" fontId="20" fillId="0" borderId="53" xfId="1" applyNumberFormat="1" applyFont="1" applyBorder="1"/>
    <xf numFmtId="166" fontId="21" fillId="0" borderId="5" xfId="7" applyNumberFormat="1" applyFont="1" applyBorder="1"/>
    <xf numFmtId="166" fontId="21" fillId="0" borderId="8" xfId="7" applyNumberFormat="1" applyFont="1" applyBorder="1"/>
    <xf numFmtId="0" fontId="20" fillId="0" borderId="6" xfId="0" applyFont="1" applyBorder="1" applyAlignment="1">
      <alignment horizontal="right"/>
    </xf>
    <xf numFmtId="164" fontId="20" fillId="0" borderId="8" xfId="0" applyNumberFormat="1" applyFont="1" applyBorder="1"/>
    <xf numFmtId="166" fontId="20" fillId="0" borderId="53" xfId="7" applyNumberFormat="1" applyFont="1" applyBorder="1"/>
    <xf numFmtId="0" fontId="20" fillId="0" borderId="0" xfId="0" applyFont="1" applyAlignment="1">
      <alignment horizontal="center" wrapText="1"/>
    </xf>
    <xf numFmtId="0" fontId="27" fillId="0" borderId="0" xfId="0" applyFont="1" applyAlignment="1">
      <alignment vertical="center"/>
    </xf>
    <xf numFmtId="164" fontId="27" fillId="0" borderId="0" xfId="1" applyNumberFormat="1" applyFont="1" applyAlignment="1">
      <alignment vertical="center"/>
    </xf>
    <xf numFmtId="10" fontId="21" fillId="0" borderId="0" xfId="3" applyNumberFormat="1" applyFont="1"/>
    <xf numFmtId="0" fontId="20" fillId="0" borderId="0" xfId="0" applyFont="1" applyAlignment="1">
      <alignment horizontal="center"/>
    </xf>
    <xf numFmtId="164" fontId="25" fillId="0" borderId="0" xfId="1" applyNumberFormat="1" applyFont="1"/>
    <xf numFmtId="0" fontId="28" fillId="8" borderId="0" xfId="0" applyFont="1" applyFill="1" applyAlignment="1">
      <alignment horizontal="centerContinuous" wrapText="1"/>
    </xf>
    <xf numFmtId="0" fontId="20" fillId="0" borderId="13" xfId="0" applyFont="1" applyBorder="1"/>
    <xf numFmtId="0" fontId="4" fillId="8" borderId="54" xfId="0" applyFont="1" applyFill="1" applyBorder="1" applyAlignment="1">
      <alignment horizontal="centerContinuous"/>
    </xf>
    <xf numFmtId="0" fontId="20" fillId="0" borderId="14" xfId="0" applyFont="1" applyBorder="1" applyAlignment="1">
      <alignment horizontal="center"/>
    </xf>
    <xf numFmtId="0" fontId="22" fillId="0" borderId="0" xfId="0" applyFont="1"/>
    <xf numFmtId="0" fontId="22" fillId="0" borderId="40" xfId="0" applyFont="1" applyBorder="1"/>
    <xf numFmtId="166" fontId="21" fillId="0" borderId="40" xfId="7" applyNumberFormat="1" applyFont="1" applyBorder="1"/>
    <xf numFmtId="166" fontId="21" fillId="0" borderId="40" xfId="7" applyNumberFormat="1" applyFont="1" applyBorder="1" applyAlignment="1"/>
    <xf numFmtId="164" fontId="21" fillId="0" borderId="40" xfId="1" applyNumberFormat="1" applyFont="1" applyBorder="1"/>
    <xf numFmtId="0" fontId="21" fillId="0" borderId="0" xfId="0" applyFont="1" applyAlignment="1">
      <alignment horizontal="center"/>
    </xf>
    <xf numFmtId="0" fontId="20" fillId="0" borderId="41" xfId="0" applyFont="1" applyBorder="1" applyAlignment="1" applyProtection="1">
      <alignment horizontal="left" indent="1"/>
      <protection locked="0"/>
    </xf>
    <xf numFmtId="3" fontId="21" fillId="0" borderId="41" xfId="0" applyNumberFormat="1" applyFont="1" applyBorder="1" applyAlignment="1" applyProtection="1">
      <alignment horizontal="right"/>
      <protection locked="0"/>
    </xf>
    <xf numFmtId="0" fontId="20" fillId="0" borderId="44" xfId="0" applyFont="1" applyBorder="1" applyAlignment="1" applyProtection="1">
      <alignment horizontal="left" indent="1"/>
      <protection locked="0"/>
    </xf>
    <xf numFmtId="3" fontId="21" fillId="0" borderId="44" xfId="0" applyNumberFormat="1" applyFont="1" applyBorder="1" applyAlignment="1" applyProtection="1">
      <alignment horizontal="right"/>
      <protection locked="0"/>
    </xf>
    <xf numFmtId="0" fontId="20" fillId="0" borderId="43" xfId="0" applyFont="1" applyBorder="1" applyAlignment="1" applyProtection="1">
      <alignment horizontal="left" indent="1"/>
      <protection locked="0"/>
    </xf>
    <xf numFmtId="3" fontId="21" fillId="0" borderId="43" xfId="0" applyNumberFormat="1" applyFont="1" applyBorder="1" applyAlignment="1" applyProtection="1">
      <alignment horizontal="right"/>
      <protection locked="0"/>
    </xf>
    <xf numFmtId="0" fontId="21" fillId="0" borderId="44" xfId="0" applyFont="1" applyBorder="1" applyProtection="1">
      <protection locked="0"/>
    </xf>
    <xf numFmtId="0" fontId="25" fillId="0" borderId="44" xfId="0" applyFont="1" applyBorder="1" applyProtection="1">
      <protection locked="0"/>
    </xf>
    <xf numFmtId="0" fontId="33" fillId="0" borderId="44" xfId="0" applyFont="1" applyBorder="1" applyProtection="1">
      <protection locked="0"/>
    </xf>
    <xf numFmtId="0" fontId="20" fillId="0" borderId="44" xfId="0" applyFont="1" applyBorder="1" applyProtection="1">
      <protection locked="0"/>
    </xf>
    <xf numFmtId="164" fontId="29" fillId="0" borderId="4" xfId="0" applyNumberFormat="1" applyFont="1" applyBorder="1"/>
    <xf numFmtId="0" fontId="35" fillId="0" borderId="0" xfId="0" applyFont="1"/>
    <xf numFmtId="9" fontId="35" fillId="0" borderId="0" xfId="3" applyFont="1"/>
    <xf numFmtId="0" fontId="24" fillId="0" borderId="13" xfId="0" applyFont="1" applyBorder="1" applyAlignment="1">
      <alignment horizontal="left"/>
    </xf>
    <xf numFmtId="164" fontId="21" fillId="0" borderId="12" xfId="0" applyNumberFormat="1" applyFont="1" applyBorder="1"/>
    <xf numFmtId="9" fontId="26" fillId="0" borderId="13" xfId="0" applyNumberFormat="1" applyFont="1" applyBorder="1"/>
    <xf numFmtId="9" fontId="20" fillId="0" borderId="0" xfId="3" applyFont="1" applyBorder="1"/>
    <xf numFmtId="164" fontId="21" fillId="0" borderId="13" xfId="0" applyNumberFormat="1" applyFont="1" applyBorder="1"/>
    <xf numFmtId="0" fontId="20" fillId="0" borderId="5" xfId="0" applyFont="1" applyBorder="1"/>
    <xf numFmtId="164" fontId="20" fillId="0" borderId="4" xfId="0" applyNumberFormat="1" applyFont="1" applyBorder="1"/>
    <xf numFmtId="9" fontId="35" fillId="0" borderId="0" xfId="0" applyNumberFormat="1" applyFont="1"/>
    <xf numFmtId="164" fontId="20" fillId="0" borderId="0" xfId="1" applyNumberFormat="1" applyFont="1" applyBorder="1"/>
    <xf numFmtId="164" fontId="24" fillId="0" borderId="0" xfId="1" applyNumberFormat="1" applyFont="1"/>
    <xf numFmtId="9" fontId="26" fillId="0" borderId="13" xfId="3" applyFont="1" applyBorder="1"/>
    <xf numFmtId="9" fontId="21" fillId="0" borderId="13" xfId="3" applyFont="1" applyFill="1" applyBorder="1"/>
    <xf numFmtId="9" fontId="26" fillId="0" borderId="13" xfId="3" applyFont="1" applyFill="1" applyBorder="1"/>
    <xf numFmtId="2" fontId="29" fillId="0" borderId="4" xfId="0" applyNumberFormat="1" applyFont="1" applyBorder="1"/>
    <xf numFmtId="2" fontId="20" fillId="0" borderId="0" xfId="0" applyNumberFormat="1" applyFont="1"/>
    <xf numFmtId="166" fontId="20" fillId="0" borderId="0" xfId="7" applyNumberFormat="1" applyFont="1" applyBorder="1"/>
    <xf numFmtId="0" fontId="20" fillId="0" borderId="4" xfId="0" applyFont="1" applyBorder="1" applyAlignment="1">
      <alignment horizontal="right"/>
    </xf>
    <xf numFmtId="2" fontId="21" fillId="0" borderId="0" xfId="0" applyNumberFormat="1" applyFont="1" applyAlignment="1">
      <alignment horizontal="right"/>
    </xf>
    <xf numFmtId="0" fontId="21" fillId="0" borderId="56" xfId="0" applyFont="1" applyBorder="1" applyAlignment="1">
      <alignment horizontal="left"/>
    </xf>
    <xf numFmtId="0" fontId="21" fillId="0" borderId="58" xfId="0" applyFont="1" applyBorder="1"/>
    <xf numFmtId="0" fontId="20" fillId="0" borderId="59" xfId="0" applyFont="1" applyBorder="1"/>
    <xf numFmtId="0" fontId="21" fillId="0" borderId="60" xfId="0" applyFont="1" applyBorder="1"/>
    <xf numFmtId="0" fontId="20" fillId="0" borderId="61" xfId="0" applyFont="1" applyBorder="1"/>
    <xf numFmtId="0" fontId="21" fillId="0" borderId="62" xfId="0" applyFont="1" applyBorder="1"/>
    <xf numFmtId="166" fontId="21" fillId="0" borderId="0" xfId="7" applyNumberFormat="1" applyFont="1" applyBorder="1" applyAlignment="1">
      <alignment horizontal="center"/>
    </xf>
    <xf numFmtId="0" fontId="21" fillId="0" borderId="55" xfId="0" applyFont="1" applyBorder="1"/>
    <xf numFmtId="0" fontId="21" fillId="0" borderId="57" xfId="0" applyFont="1" applyBorder="1"/>
    <xf numFmtId="0" fontId="21" fillId="0" borderId="59" xfId="0" applyFont="1" applyBorder="1"/>
    <xf numFmtId="0" fontId="21" fillId="0" borderId="61" xfId="0" applyFont="1" applyBorder="1"/>
    <xf numFmtId="166" fontId="21" fillId="0" borderId="2" xfId="7" applyNumberFormat="1" applyFont="1" applyBorder="1" applyAlignment="1">
      <alignment horizontal="center"/>
    </xf>
    <xf numFmtId="164" fontId="21" fillId="0" borderId="7" xfId="1" applyNumberFormat="1" applyFont="1" applyBorder="1" applyAlignment="1">
      <alignment horizontal="center"/>
    </xf>
    <xf numFmtId="0" fontId="21" fillId="0" borderId="0" xfId="7" applyNumberFormat="1" applyFont="1" applyBorder="1" applyAlignment="1">
      <alignment horizontal="right"/>
    </xf>
    <xf numFmtId="0" fontId="20" fillId="0" borderId="41" xfId="0" applyFont="1" applyBorder="1" applyAlignment="1" applyProtection="1">
      <alignment horizontal="center" vertical="center" wrapText="1"/>
      <protection locked="0"/>
    </xf>
    <xf numFmtId="0" fontId="36" fillId="0" borderId="0" xfId="0" applyFont="1" applyAlignment="1">
      <alignment horizontal="center" wrapText="1"/>
    </xf>
    <xf numFmtId="0" fontId="37" fillId="0" borderId="0" xfId="0" applyFont="1"/>
    <xf numFmtId="0" fontId="38" fillId="0" borderId="0" xfId="0" applyFont="1" applyAlignment="1">
      <alignment horizontal="center" wrapText="1"/>
    </xf>
    <xf numFmtId="0" fontId="25" fillId="0" borderId="0" xfId="0" applyFont="1" applyAlignment="1">
      <alignment horizontal="center"/>
    </xf>
    <xf numFmtId="0" fontId="21" fillId="0" borderId="41" xfId="0" applyFont="1" applyBorder="1" applyAlignment="1">
      <alignment horizontal="center"/>
    </xf>
    <xf numFmtId="0" fontId="21" fillId="0" borderId="63" xfId="0" applyFont="1" applyBorder="1" applyAlignment="1">
      <alignment horizontal="left" wrapText="1"/>
    </xf>
    <xf numFmtId="166" fontId="21" fillId="0" borderId="64" xfId="7" applyNumberFormat="1" applyFont="1" applyBorder="1"/>
    <xf numFmtId="0" fontId="21" fillId="0" borderId="65" xfId="0" applyFont="1" applyBorder="1" applyAlignment="1">
      <alignment horizontal="left" wrapText="1"/>
    </xf>
    <xf numFmtId="166" fontId="21" fillId="0" borderId="66" xfId="7" applyNumberFormat="1" applyFont="1" applyBorder="1"/>
    <xf numFmtId="0" fontId="21" fillId="0" borderId="67" xfId="0" applyFont="1" applyBorder="1" applyAlignment="1">
      <alignment horizontal="left" wrapText="1"/>
    </xf>
    <xf numFmtId="166" fontId="21" fillId="0" borderId="68" xfId="7" applyNumberFormat="1" applyFont="1" applyBorder="1"/>
    <xf numFmtId="0" fontId="21" fillId="0" borderId="43" xfId="0" applyFont="1" applyBorder="1" applyAlignment="1">
      <alignment horizontal="center"/>
    </xf>
    <xf numFmtId="0" fontId="22" fillId="0" borderId="69" xfId="0" applyFont="1" applyBorder="1" applyAlignment="1">
      <alignment horizontal="center"/>
    </xf>
    <xf numFmtId="0" fontId="22" fillId="0" borderId="70" xfId="0" applyFont="1" applyBorder="1" applyAlignment="1">
      <alignment horizontal="center"/>
    </xf>
    <xf numFmtId="0" fontId="22" fillId="0" borderId="71" xfId="0" applyFont="1" applyBorder="1" applyAlignment="1">
      <alignment horizontal="center"/>
    </xf>
    <xf numFmtId="0" fontId="22" fillId="0" borderId="72" xfId="0" applyFont="1" applyBorder="1" applyAlignment="1">
      <alignment horizontal="center"/>
    </xf>
    <xf numFmtId="0" fontId="22" fillId="0" borderId="73" xfId="0" applyFont="1" applyBorder="1" applyAlignment="1">
      <alignment horizontal="center"/>
    </xf>
    <xf numFmtId="0" fontId="22" fillId="0" borderId="74" xfId="0" applyFont="1" applyBorder="1" applyAlignment="1">
      <alignment horizontal="center"/>
    </xf>
    <xf numFmtId="166" fontId="22" fillId="0" borderId="75" xfId="7" applyNumberFormat="1" applyFont="1" applyBorder="1"/>
    <xf numFmtId="166" fontId="22" fillId="0" borderId="76" xfId="7" applyNumberFormat="1" applyFont="1" applyBorder="1"/>
    <xf numFmtId="166" fontId="22" fillId="0" borderId="77" xfId="7" applyNumberFormat="1" applyFont="1" applyBorder="1"/>
    <xf numFmtId="0" fontId="21" fillId="0" borderId="1" xfId="0" applyFont="1" applyBorder="1"/>
    <xf numFmtId="0" fontId="20" fillId="0" borderId="50" xfId="0" applyFont="1" applyBorder="1"/>
    <xf numFmtId="166" fontId="20" fillId="0" borderId="50" xfId="0" applyNumberFormat="1" applyFont="1" applyBorder="1"/>
    <xf numFmtId="164" fontId="20" fillId="0" borderId="50" xfId="0" applyNumberFormat="1" applyFont="1" applyBorder="1"/>
    <xf numFmtId="0" fontId="21" fillId="0" borderId="0" xfId="0" applyFont="1" applyAlignment="1">
      <alignment vertical="top"/>
    </xf>
    <xf numFmtId="0" fontId="21" fillId="0" borderId="0" xfId="0" applyFont="1" applyAlignment="1">
      <alignment vertical="top" wrapText="1"/>
    </xf>
    <xf numFmtId="0" fontId="21" fillId="0" borderId="4" xfId="0" applyFont="1" applyBorder="1" applyAlignment="1">
      <alignment vertical="top"/>
    </xf>
    <xf numFmtId="0" fontId="21" fillId="0" borderId="6" xfId="0" applyFont="1" applyBorder="1" applyAlignment="1">
      <alignment vertical="top"/>
    </xf>
    <xf numFmtId="0" fontId="21" fillId="0" borderId="7" xfId="0" applyFont="1" applyBorder="1" applyAlignment="1">
      <alignment vertical="top" wrapText="1"/>
    </xf>
    <xf numFmtId="0" fontId="21" fillId="0" borderId="5" xfId="0" applyFont="1" applyBorder="1" applyAlignment="1">
      <alignment vertical="top" wrapText="1"/>
    </xf>
    <xf numFmtId="0" fontId="21" fillId="0" borderId="5" xfId="0" applyFont="1" applyBorder="1" applyAlignment="1">
      <alignment vertical="top"/>
    </xf>
    <xf numFmtId="0" fontId="4" fillId="8" borderId="12" xfId="0" applyFont="1" applyFill="1" applyBorder="1" applyAlignment="1">
      <alignment horizontal="left" wrapText="1"/>
    </xf>
    <xf numFmtId="0" fontId="4" fillId="8" borderId="13" xfId="0" applyFont="1" applyFill="1" applyBorder="1" applyAlignment="1">
      <alignment horizontal="left" wrapText="1"/>
    </xf>
    <xf numFmtId="0" fontId="4" fillId="8" borderId="14" xfId="0" applyFont="1" applyFill="1" applyBorder="1" applyAlignment="1">
      <alignment horizontal="left" wrapText="1"/>
    </xf>
    <xf numFmtId="0" fontId="20" fillId="0" borderId="4" xfId="0" applyFont="1" applyBorder="1" applyAlignment="1">
      <alignment vertical="top"/>
    </xf>
    <xf numFmtId="0" fontId="21" fillId="3" borderId="0" xfId="0" applyFont="1" applyFill="1" applyAlignment="1">
      <alignment vertical="top"/>
    </xf>
    <xf numFmtId="0" fontId="21" fillId="3" borderId="4" xfId="0" applyFont="1" applyFill="1" applyBorder="1" applyAlignment="1">
      <alignment vertical="top"/>
    </xf>
    <xf numFmtId="0" fontId="21" fillId="3" borderId="5" xfId="0" applyFont="1" applyFill="1" applyBorder="1" applyAlignment="1">
      <alignment vertical="top"/>
    </xf>
    <xf numFmtId="0" fontId="34" fillId="0" borderId="0" xfId="0" applyFont="1" applyAlignment="1">
      <alignment horizontal="center" vertical="center"/>
    </xf>
    <xf numFmtId="0" fontId="20" fillId="7" borderId="1" xfId="0" applyFont="1" applyFill="1" applyBorder="1" applyProtection="1">
      <protection locked="0"/>
    </xf>
    <xf numFmtId="0" fontId="20" fillId="7" borderId="2" xfId="0" applyFont="1" applyFill="1" applyBorder="1"/>
    <xf numFmtId="0" fontId="20" fillId="7" borderId="3" xfId="0" applyFont="1" applyFill="1" applyBorder="1"/>
    <xf numFmtId="0" fontId="20" fillId="7" borderId="4" xfId="0" applyFont="1" applyFill="1" applyBorder="1" applyAlignment="1" applyProtection="1">
      <alignment wrapText="1"/>
      <protection locked="0"/>
    </xf>
    <xf numFmtId="0" fontId="20" fillId="7" borderId="0" xfId="0" applyFont="1" applyFill="1"/>
    <xf numFmtId="0" fontId="20" fillId="7" borderId="5" xfId="0" applyFont="1" applyFill="1" applyBorder="1"/>
    <xf numFmtId="0" fontId="20" fillId="7" borderId="6" xfId="0" applyFont="1" applyFill="1" applyBorder="1" applyProtection="1">
      <protection locked="0"/>
    </xf>
    <xf numFmtId="0" fontId="20" fillId="7" borderId="7" xfId="0" applyFont="1" applyFill="1" applyBorder="1"/>
    <xf numFmtId="0" fontId="20" fillId="7" borderId="8" xfId="0" applyFont="1" applyFill="1" applyBorder="1"/>
    <xf numFmtId="0" fontId="24" fillId="6" borderId="41" xfId="0" applyFont="1" applyFill="1" applyBorder="1" applyAlignment="1" applyProtection="1">
      <alignment horizontal="left" vertical="center" wrapText="1"/>
      <protection locked="0"/>
    </xf>
    <xf numFmtId="0" fontId="21" fillId="0" borderId="41" xfId="0" applyFont="1" applyBorder="1" applyAlignment="1" applyProtection="1">
      <alignment horizontal="left" vertical="center" wrapText="1"/>
      <protection locked="0"/>
    </xf>
    <xf numFmtId="0" fontId="20" fillId="0" borderId="42" xfId="0" applyFont="1" applyBorder="1" applyAlignment="1" applyProtection="1">
      <alignment horizontal="center" vertical="center"/>
      <protection locked="0"/>
    </xf>
    <xf numFmtId="0" fontId="21" fillId="0" borderId="43" xfId="0" applyFont="1" applyBorder="1" applyAlignment="1" applyProtection="1">
      <alignment vertical="center"/>
      <protection locked="0"/>
    </xf>
    <xf numFmtId="0" fontId="20" fillId="6" borderId="41" xfId="0" applyFont="1" applyFill="1" applyBorder="1" applyAlignment="1" applyProtection="1">
      <alignment horizontal="center" vertical="center" wrapText="1"/>
      <protection locked="0"/>
    </xf>
    <xf numFmtId="0" fontId="20" fillId="0" borderId="41" xfId="0" applyFont="1" applyBorder="1" applyAlignment="1" applyProtection="1">
      <alignment horizontal="center" vertical="center" wrapText="1"/>
      <protection locked="0"/>
    </xf>
    <xf numFmtId="167" fontId="20" fillId="6" borderId="41" xfId="0" applyNumberFormat="1" applyFont="1" applyFill="1" applyBorder="1" applyAlignment="1" applyProtection="1">
      <alignment horizontal="center" vertical="center" wrapText="1"/>
      <protection locked="0"/>
    </xf>
    <xf numFmtId="0" fontId="25" fillId="0" borderId="12" xfId="0" applyFont="1" applyBorder="1" applyAlignment="1" applyProtection="1">
      <alignment wrapText="1"/>
      <protection locked="0"/>
    </xf>
    <xf numFmtId="0" fontId="25" fillId="0" borderId="13" xfId="0" applyFont="1" applyBorder="1" applyAlignment="1">
      <alignment wrapText="1"/>
    </xf>
    <xf numFmtId="0" fontId="25" fillId="0" borderId="14" xfId="0" applyFont="1" applyBorder="1" applyAlignment="1">
      <alignment wrapText="1"/>
    </xf>
  </cellXfs>
  <cellStyles count="8">
    <cellStyle name="Comma" xfId="7" builtinId="3"/>
    <cellStyle name="Comma 2" xfId="6" xr:uid="{7053CED0-0D61-4477-B2B5-F162F958B35D}"/>
    <cellStyle name="Currency" xfId="1" builtinId="4"/>
    <cellStyle name="Currency 2" xfId="5" xr:uid="{4BF9A637-9584-4CE8-AE68-AFD901EC3FFC}"/>
    <cellStyle name="Hyperlink" xfId="2" builtinId="8"/>
    <cellStyle name="Normal" xfId="0" builtinId="0"/>
    <cellStyle name="Normal 2" xfId="4" xr:uid="{7B157439-D079-4844-8EF9-49D5AF65CB90}"/>
    <cellStyle name="Percent" xfId="3" builtinId="5"/>
  </cellStyles>
  <dxfs count="107">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2"/>
        <color rgb="FF0070C0"/>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indexed="65"/>
        </patternFill>
      </fill>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indexed="65"/>
        </patternFill>
      </fill>
    </dxf>
    <dxf>
      <font>
        <b val="0"/>
        <i val="0"/>
        <strike val="0"/>
        <condense val="0"/>
        <extend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4" formatCode="_(&quot;$&quot;* #,##0.00_);_(&quot;$&quot;* \(#,##0.00\);_(&quot;$&quot;* &quot;-&quot;??_);_(@_)"/>
      <fill>
        <patternFill patternType="none">
          <fgColor indexed="64"/>
          <bgColor indexed="65"/>
        </patternFill>
      </fill>
    </dxf>
    <dxf>
      <font>
        <b val="0"/>
        <i val="0"/>
        <strike val="0"/>
        <condense val="0"/>
        <extend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4" formatCode="_(&quot;$&quot;* #,##0.00_);_(&quot;$&quot;* \(#,##0.00\);_(&quot;$&quot;* &quot;-&quot;??_);_(@_)"/>
      <fill>
        <patternFill patternType="none">
          <fgColor indexed="64"/>
          <bgColor indexed="65"/>
        </patternFill>
      </fill>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rgb="FF0070C0"/>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name val="Calibri"/>
        <family val="2"/>
        <scheme val="minor"/>
      </font>
      <numFmt numFmtId="34" formatCode="_(&quot;$&quot;* #,##0.00_);_(&quot;$&quot;* \(#,##0.00\);_(&quot;$&quot;* &quot;-&quot;??_);_(@_)"/>
    </dxf>
    <dxf>
      <font>
        <strike val="0"/>
        <outline val="0"/>
        <shadow val="0"/>
        <u val="none"/>
        <vertAlign val="baseline"/>
        <sz val="12"/>
        <name val="Calibri"/>
        <family val="2"/>
        <scheme val="minor"/>
      </font>
      <numFmt numFmtId="34" formatCode="_(&quot;$&quot;* #,##0.00_);_(&quot;$&quot;* \(#,##0.00\);_(&quot;$&quot;* &quot;-&quot;??_);_(@_)"/>
      <fill>
        <patternFill patternType="none">
          <fgColor indexed="64"/>
          <bgColor indexed="65"/>
        </patternFill>
      </fill>
    </dxf>
    <dxf>
      <font>
        <strike val="0"/>
        <outline val="0"/>
        <shadow val="0"/>
        <u val="none"/>
        <vertAlign val="baseline"/>
        <sz val="12"/>
        <name val="Calibri"/>
        <family val="2"/>
        <scheme val="minor"/>
      </font>
      <numFmt numFmtId="165" formatCode="&quot;$&quot;#,##0.00"/>
      <fill>
        <patternFill patternType="none">
          <fgColor indexed="64"/>
          <bgColor indexed="65"/>
        </patternFill>
      </fill>
    </dxf>
    <dxf>
      <font>
        <strike val="0"/>
        <outline val="0"/>
        <shadow val="0"/>
        <u val="none"/>
        <vertAlign val="baseline"/>
        <sz val="12"/>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2"/>
        <name val="Calibri"/>
        <family val="2"/>
        <scheme val="minor"/>
      </font>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B05284-1B77-4796-BCB6-F9558E372F67}" name="Table13" displayName="Table13" ref="A1:BB235" totalsRowShown="0" headerRowDxfId="106" dataDxfId="105">
  <autoFilter ref="A1:BB235" xr:uid="{00000000-0009-0000-0100-000001000000}"/>
  <sortState xmlns:xlrd2="http://schemas.microsoft.com/office/spreadsheetml/2017/richdata2" ref="A2:BB235">
    <sortCondition ref="H1:H235"/>
  </sortState>
  <tableColumns count="54">
    <tableColumn id="123" xr3:uid="{848D6A18-3A9A-4038-8221-8F93C369CECF}" name="Neon ID" dataDxfId="104" dataCellStyle="Normal 2"/>
    <tableColumn id="9" xr3:uid="{0413C15A-6401-4024-A0D0-8FAAA0D07A2B}" name="Launch Year" dataDxfId="103"/>
    <tableColumn id="14" xr3:uid="{7DD83789-4233-447B-8F1E-B4EC232D1EBA}" name="Content Type" dataCellStyle="Normal 2"/>
    <tableColumn id="10" xr3:uid="{033DC22B-C351-4F11-B79B-0C26993B319A}" name="Geographic Scope" dataDxfId="102"/>
    <tableColumn id="11" xr3:uid="{19823F9D-070A-496E-9E61-EA5C6DA9EB16}" name="Sub-Type/Focus" dataDxfId="101"/>
    <tableColumn id="1" xr3:uid="{78BBB3B0-98E3-4EF8-88C1-16D6082F042F}" name="Scope/Sub-Type" dataDxfId="100" dataCellStyle="Normal 2">
      <calculatedColumnFormula>_xlfn.CONCAT(Table13[[#This Row],[Geographic Scope]],": ",Table13[[#This Row],[Sub-Type/Focus]])</calculatedColumnFormula>
    </tableColumn>
    <tableColumn id="30" xr3:uid="{8690D0FB-EEEE-4C52-AB09-690FA0FAF608}" name="Scope/Sub-Type/Content Type" dataDxfId="99" dataCellStyle="Normal 2">
      <calculatedColumnFormula>_xlfn.CONCAT(Table13[[#This Row],[Geographic Scope]],": ",Table13[[#This Row],[Sub-Type/Focus]],": ",Table13[[#This Row],[Content Type]])</calculatedColumnFormula>
    </tableColumn>
    <tableColumn id="15" xr3:uid="{3978E0AC-E9C1-4675-B308-2FC033272AFB}" name="Scope/Content Type" dataDxfId="98" dataCellStyle="Normal 2">
      <calculatedColumnFormula>_xlfn.CONCAT(Table13[[#This Row],[Geographic Scope]],": ",Table13[[#This Row],[Content Type]])</calculatedColumnFormula>
    </tableColumn>
    <tableColumn id="56" xr3:uid="{6F5CF317-1488-4C41-A5E3-7DE830211DBD}" name="agg_content_type_TOTAL INCOME" dataDxfId="97" dataCellStyle="Normal 2"/>
    <tableColumn id="55" xr3:uid="{22F63B4B-7E29-4D28-AE87-846D11FC41A8}" name="agg_content_type_Total Contributed Income" dataDxfId="96" dataCellStyle="Normal 2"/>
    <tableColumn id="54" xr3:uid="{387B8761-9C88-450B-8403-94FD16351E8E}" name="agg_content_type_Total Earned Income" dataDxfId="95" dataCellStyle="Normal 2"/>
    <tableColumn id="53" xr3:uid="{4FE4B0B9-2954-4CDC-801B-FAC5130BEE95}" name="agg_content_type_Cont. Income - Foundations" dataDxfId="94" dataCellStyle="Normal 2"/>
    <tableColumn id="52" xr3:uid="{721B5772-9C0E-47E6-AE4E-C7A57E3AD6D5}" name="agg_content_type_Cont. Income - Membership" dataDxfId="93" dataCellStyle="Normal 2"/>
    <tableColumn id="51" xr3:uid="{EBD88A5F-28B4-4B2D-A942-A3F17F341315}" name="agg_content_type_Total Individual Donations" dataDxfId="92" dataCellStyle="Normal 2"/>
    <tableColumn id="50" xr3:uid="{119D8DC9-EF3A-4162-90E3-34A6930D4B1A}" name="agg_content_type_Cont. Income - Small Donors" dataDxfId="91" dataCellStyle="Normal 2"/>
    <tableColumn id="49" xr3:uid="{CBA4575F-48C7-4040-AAC8-8A1E6FB7FE27}" name="agg_content_type_Cont. Income - Med. Donors" dataDxfId="90" dataCellStyle="Normal 2"/>
    <tableColumn id="48" xr3:uid="{B6DFAB95-4D94-48B2-A6AE-B5A80F6DB65D}" name="agg_content_type_Cont. Income - Major Donors" dataDxfId="89" dataCellStyle="Normal 2"/>
    <tableColumn id="47" xr3:uid="{1EC8AE9B-CAEB-4529-A517-52A254BBCC42}" name="agg_content_type_Cont. Income - Other" dataDxfId="88" dataCellStyle="Normal 2"/>
    <tableColumn id="46" xr3:uid="{5487FA28-6B8A-433A-9B75-AB0EA9F73E4B}" name="agg_content_type_Earned Income - Advertising" dataDxfId="87" dataCellStyle="Normal 2"/>
    <tableColumn id="45" xr3:uid="{A8AC5905-D7B0-4DD8-8C7D-1BDC699EA976}" name="agg_content_type_Earned Income - Sponsorships/Underwriting" dataDxfId="86" dataCellStyle="Normal 2"/>
    <tableColumn id="40" xr3:uid="{E3B929FF-5EBA-49CD-A4F0-6BE9B43B31C0}" name="agg_content_type_Earned Income - Events" dataDxfId="85" dataCellStyle="Normal 2"/>
    <tableColumn id="39" xr3:uid="{6D89C882-FB36-48CB-B7E5-03C35D8F7FC7}" name="agg_content_type_Earned Income - Subscriptions" dataDxfId="84" dataCellStyle="Normal 2"/>
    <tableColumn id="38" xr3:uid="{9722CDE9-888C-49AE-AB82-EE5E649192A1}" name="agg_content_type_Earned Income - Syndication" dataDxfId="83" dataCellStyle="Normal 2"/>
    <tableColumn id="37" xr3:uid="{A5B3B1CD-7847-494C-9BD0-C7947D083B0B}" name="agg_content_type_Earned Income - Other" dataDxfId="82" dataCellStyle="Normal 2"/>
    <tableColumn id="36" xr3:uid="{81733C75-A323-4546-AAF4-9F0FD42A87E1}" name="agg_content_type_Expenses - Editorial" dataDxfId="81" dataCellStyle="Normal 2"/>
    <tableColumn id="35" xr3:uid="{5237E3E3-5C43-46C3-A4A4-BCF4A5104D21}" name="agg_content_type_Expenses - Non-Editorial" dataDxfId="80" dataCellStyle="Normal 2"/>
    <tableColumn id="34" xr3:uid="{1D54A6CE-4AC4-4B2B-B4B3-461B3D05DB52}" name="agg_content_type_TOTAL EXPENSES" dataDxfId="79" dataCellStyle="Normal 2"/>
    <tableColumn id="33" xr3:uid="{7AFCBC70-586A-418C-85CD-1E4EF8FD80C6}" name="agg_content_type_Total FTE" dataDxfId="78" dataCellStyle="Normal 2"/>
    <tableColumn id="32" xr3:uid="{AE7E2FCC-72E0-4873-A98C-1E1D34B2FBCA}" name="agg_content_type_Total FTE - Editorial" dataDxfId="77" dataCellStyle="Normal 2"/>
    <tableColumn id="31" xr3:uid="{57FED0F3-4A42-4E7E-ACC6-F8E4CF76BAC2}" name="agg_content_type_Total FTE - Non-Editorial" dataDxfId="76" dataCellStyle="Normal 2"/>
    <tableColumn id="78" xr3:uid="{F38785D3-0B5E-4ADC-AE78-C281579D6FAB}" name="agg_sub_type_TOTAL INCOME" dataDxfId="75" dataCellStyle="Normal 2"/>
    <tableColumn id="77" xr3:uid="{BB82217F-411B-44B8-BB59-2466B2D8EAC2}" name="agg_sub_type_Total Contributed Income" dataDxfId="74" dataCellStyle="Normal 2"/>
    <tableColumn id="76" xr3:uid="{D8987181-8B73-4C7D-8B12-D281B79221FD}" name="agg_sub_type_Total Earned Income" dataDxfId="73" dataCellStyle="Normal 2"/>
    <tableColumn id="75" xr3:uid="{9FCEDA5B-33D0-4113-951D-5A41765AB625}" name="agg_sub_type_Cont. Income - Foundations" dataDxfId="72" dataCellStyle="Normal 2"/>
    <tableColumn id="74" xr3:uid="{1753F93B-7364-41EB-857D-40D2AE9CEDEB}" name="agg_sub_type_Cont. Income - Membership" dataDxfId="71" dataCellStyle="Normal 2"/>
    <tableColumn id="73" xr3:uid="{1264DC03-0A99-4A58-92EA-647B926A00CF}" name="agg_sub_type_Total Individual Donations" dataDxfId="70" dataCellStyle="Normal 2"/>
    <tableColumn id="72" xr3:uid="{08CFDF90-D63B-4AFB-87F9-75819CDC9B40}" name="agg_sub_type_Cont. Income - Small Donors" dataDxfId="69" dataCellStyle="Normal 2"/>
    <tableColumn id="71" xr3:uid="{1728D152-D554-4857-965F-A7015268F371}" name="agg_sub_type_Cont. Income - Med. Donors" dataDxfId="68" dataCellStyle="Normal 2"/>
    <tableColumn id="70" xr3:uid="{5301941E-8CF5-499E-A982-6E7BE71B7200}" name="agg_sub_type_Cont. Income - Major Donors" dataDxfId="67" dataCellStyle="Normal 2"/>
    <tableColumn id="69" xr3:uid="{B35485C5-25DB-4E96-88C7-CFAF041A16E2}" name="agg_sub_type_Cont. Income - Other" dataDxfId="66" dataCellStyle="Normal 2"/>
    <tableColumn id="68" xr3:uid="{B54E6A50-DC29-4D4F-8732-2867215DA5C8}" name="agg_sub_type_Earned Income - Advertising" dataDxfId="65" dataCellStyle="Normal 2"/>
    <tableColumn id="67" xr3:uid="{1843941C-C2B6-40C3-8392-7B8E06C56FD5}" name="agg_sub_type_Earned Income - Sponsorships/Underwriting" dataDxfId="64" dataCellStyle="Normal 2"/>
    <tableColumn id="66" xr3:uid="{06185BA9-CC81-4B3E-B938-2C5F9CE33351}" name="agg_sub_type_Earned Income - Events" dataDxfId="63" dataCellStyle="Normal 2"/>
    <tableColumn id="65" xr3:uid="{AC13A560-EF92-40CE-A1C9-FD6F07C0F73B}" name="agg_sub_type_Earned Income - Subscriptions" dataDxfId="62" dataCellStyle="Normal 2"/>
    <tableColumn id="64" xr3:uid="{D44DFE95-2D1C-4CED-A72A-5555C44996F2}" name="agg_sub_type_Earned Income - Syndication" dataDxfId="61" dataCellStyle="Normal 2"/>
    <tableColumn id="63" xr3:uid="{A0C09D21-2993-4F24-9C75-B6CC41CD1967}" name="agg_sub_type_Earned Income - Other" dataDxfId="60" dataCellStyle="Normal 2"/>
    <tableColumn id="62" xr3:uid="{BD1C1974-7B30-4E39-9057-4F13518618A4}" name="agg_sub_type_Expenses - Editorial" dataDxfId="59" dataCellStyle="Normal 2"/>
    <tableColumn id="61" xr3:uid="{CEF41D7B-4718-4147-8766-D695230D5DE5}" name="agg_sub_type_Expenses - Non-Editorial" dataDxfId="58" dataCellStyle="Normal 2"/>
    <tableColumn id="60" xr3:uid="{A3972B68-A693-4F7F-97DE-DEDBDAE67946}" name="agg_sub_type_TOTAL EXPENSES" dataDxfId="57" dataCellStyle="Normal 2"/>
    <tableColumn id="59" xr3:uid="{16FE4905-2080-4C2C-9BD7-B5F16A0C6F78}" name="agg_sub_type_Total FTE" dataDxfId="56" dataCellStyle="Normal 2"/>
    <tableColumn id="58" xr3:uid="{A878E8DC-C5A2-4FCC-A5BA-791EEBFC45E5}" name="agg_sub_type_Total FTE - Editorial" dataDxfId="55" dataCellStyle="Normal 2"/>
    <tableColumn id="57" xr3:uid="{8854F259-28AC-41BD-8AA7-81E1172BECB1}" name="agg_sub_type_Total FTE - Non-Editorial" dataDxfId="54" dataCellStyle="Normal 2"/>
    <tableColumn id="100" xr3:uid="{746C7480-ABC9-4265-B17D-D9B27557D391}" name="Primary Medium" dataDxfId="53"/>
    <tableColumn id="102" xr3:uid="{3871082B-7A2A-43E1-B96D-87F6B5B53C0F}" name="Medium 2" dataDxfId="5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BFECFF-9DBF-439B-88E5-763D353328C6}" name="Table1" displayName="Table1" ref="A1:AV109" totalsRowShown="0" headerRowDxfId="51" dataDxfId="50">
  <autoFilter ref="A1:AV109" xr:uid="{5944C477-4D76-B449-ACD0-DCF595AB3A15}"/>
  <sortState xmlns:xlrd2="http://schemas.microsoft.com/office/spreadsheetml/2017/richdata2" ref="A2:AV109">
    <sortCondition ref="A1:A109"/>
  </sortState>
  <tableColumns count="48">
    <tableColumn id="310" xr3:uid="{31384115-7A67-4836-A9DA-4BD530E59116}" name="NeonID" dataDxfId="49"/>
    <tableColumn id="11" xr3:uid="{76B5E1E2-0ABE-422A-8E4A-F725E27FF02D}" name="Spacer Column" dataDxfId="48" dataCellStyle="Normal 2"/>
    <tableColumn id="265" xr3:uid="{A8993B92-EA63-48EE-ACDD-D57A8F08A3EB}" name="Geographic Scope" dataDxfId="47"/>
    <tableColumn id="266" xr3:uid="{5CD3B885-35CB-44A1-B06A-F457BE6F9184}" name="Sub-Type/Focus" dataDxfId="46"/>
    <tableColumn id="1" xr3:uid="{2E3EC6DB-B43F-4A7B-A414-B858E268AD07}" name="Scope/Sub-Type" dataDxfId="45">
      <calculatedColumnFormula>_xlfn.CONCAT(Table1[[#This Row],[Geographic Scope]],": ",Table1[[#This Row],[Sub-Type/Focus]])</calculatedColumnFormula>
    </tableColumn>
    <tableColumn id="2" xr3:uid="{905C7AAA-B556-4A6A-8424-EDF15A81D6B0}" name="Total Income" dataDxfId="44">
      <calculatedColumnFormula>Table1[[#This Row],[Total Contributed Income]]+Table1[[#This Row],[Total Earned Income]]</calculatedColumnFormula>
    </tableColumn>
    <tableColumn id="3" xr3:uid="{DBE763E4-5113-447F-AD94-B4265BD14D08}" name="Total Contributed Income" dataDxfId="43">
      <calculatedColumnFormula>IFERROR((Table1[[#This Row],[Cont. Income - Foundation]]+Table1[[#This Row],[Cont. Income - Membership]]+Table1[[#This Row],[Cont. Income - Small Donors]]+Table1[[#This Row],[Cont. Income - Med. Donors]]+Table1[[#This Row],[Cont. Income - Major Donors]]+Table1[[#This Row],[Cont. Income - Other]]),0)</calculatedColumnFormula>
    </tableColumn>
    <tableColumn id="10" xr3:uid="{1D7DB75C-1219-40A1-889E-86517D022D94}" name="Total Earned Income" dataDxfId="42" dataCellStyle="Normal 2">
      <calculatedColumnFormula>IFERROR((Table1[[#This Row],[Earned Income - Advertising]]+Table1[[#This Row],[Earned Income - Sponsorships/Underwriting]]+Table1[[#This Row],[Earned Income - Events]]+Table1[[#This Row],[Earned Income - Subscriptions]]+Table1[[#This Row],[Earned Income - Syndication]]+Table1[[#This Row],[Earned Income - Other TOTAL]]),0)</calculatedColumnFormula>
    </tableColumn>
    <tableColumn id="269" xr3:uid="{B689D1B5-E413-4CCC-B154-1A715DDAAC89}" name="Cont. Income - Foundation" dataDxfId="41" dataCellStyle="Currency"/>
    <tableColumn id="270" xr3:uid="{34A46F49-9CFE-4B83-A691-CAAA3FDEE35A}" name="Cont. Income - Membership" dataDxfId="40" dataCellStyle="Currency"/>
    <tableColumn id="271" xr3:uid="{BB0F09B5-70B2-4388-8258-F1B4BD8427E0}" name="Cont. Income - Small Donors" dataDxfId="39" dataCellStyle="Currency"/>
    <tableColumn id="272" xr3:uid="{4197B487-4373-42F1-9E4C-17E5DB7E09FE}" name="Cont. Income - Med. Donors" dataDxfId="38" dataCellStyle="Currency"/>
    <tableColumn id="273" xr3:uid="{D11CF799-A7A0-432D-A27C-B9CD0FE101DD}" name="Cont. Income - Major Donors" dataDxfId="37" dataCellStyle="Currency"/>
    <tableColumn id="274" xr3:uid="{3BE4DFC8-AA1E-47E6-8F7A-47E5D1DDF4DE}" name="Cont. Income - Other" dataDxfId="36" dataCellStyle="Currency"/>
    <tableColumn id="275" xr3:uid="{367CCCDD-CA39-4B88-8FD5-9C68E7D6CD4C}" name="Cont. Income - Other Desc." dataDxfId="35"/>
    <tableColumn id="276" xr3:uid="{42D2DFC2-4527-493E-BAF5-42A71539EF3E}" name="Earned Income - Advertising" dataDxfId="34" dataCellStyle="Currency"/>
    <tableColumn id="277" xr3:uid="{F49AC3F5-B414-441B-AB27-F4B5546D55AD}" name="Earned Income - Sponsorships/Underwriting" dataDxfId="33" dataCellStyle="Currency"/>
    <tableColumn id="278" xr3:uid="{4B3A7071-3AC3-4912-86D1-E3AB0D4A6CB6}" name="Earned Income - Events" dataDxfId="32" dataCellStyle="Currency"/>
    <tableColumn id="279" xr3:uid="{C48A1881-7A6E-4926-ADFD-A711675284E4}" name="Earned Income - Subscriptions" dataDxfId="31" dataCellStyle="Currency"/>
    <tableColumn id="280" xr3:uid="{F0BAE6E1-F2FB-4299-9DC2-2E6D08DA4F86}" name="Earned Income - Syndication" dataDxfId="30" dataCellStyle="Currency"/>
    <tableColumn id="4" xr3:uid="{A035A2BA-5A6E-43AE-B6EE-3F9DCB5D91D1}" name="Earned Income - Other TOTAL" dataDxfId="29" dataCellStyle="Currency">
      <calculatedColumnFormula>IFERROR(Table1[[#This Row],[Earned Income - Training Fees]]+Table1[[#This Row],[Earned Income - Fees]]+Table1[[#This Row],[Earned Income - Investments]]+Table1[[#This Row],[Earned Income - Other]],0)</calculatedColumnFormula>
    </tableColumn>
    <tableColumn id="281" xr3:uid="{762BFBD0-2A6E-4967-A99E-2912C662B0D0}" name="Earned Income - Training Fees" dataDxfId="28" dataCellStyle="Currency"/>
    <tableColumn id="282" xr3:uid="{D8B226F0-B20A-4492-8C6B-D7C2D570D4B8}" name="Earned Income - Fees" dataDxfId="27" dataCellStyle="Currency"/>
    <tableColumn id="283" xr3:uid="{5CCC5683-4123-4744-81B8-DD295B8B7B59}" name="Earned Income - Fees Desc." dataDxfId="26"/>
    <tableColumn id="286" xr3:uid="{0A314E16-95A9-4E29-8502-A15B41EB92A6}" name="Earned Income - Investments" dataDxfId="25" dataCellStyle="Currency"/>
    <tableColumn id="284" xr3:uid="{41519E43-F7EA-4308-847B-33B3894392FC}" name="Earned Income - Other" dataDxfId="24" dataCellStyle="Currency"/>
    <tableColumn id="285" xr3:uid="{945E7800-6D42-42C6-BF24-61026906517B}" name="Earned Income - Other Desc." dataDxfId="23"/>
    <tableColumn id="311" xr3:uid="{24073255-F301-4028-A502-C769F2A8084C}" name="TOTAL EXPENSES" dataDxfId="22" dataCellStyle="Currency">
      <calculatedColumnFormula>SUM(AC2:AD2)</calculatedColumnFormula>
    </tableColumn>
    <tableColumn id="292" xr3:uid="{EF2C3030-7514-4A1D-A815-83AEAE83C0FE}" name="Expenses - Editorial" dataDxfId="21" dataCellStyle="Currency"/>
    <tableColumn id="5" xr3:uid="{1C257339-F5C7-4EFF-857D-554405D442D8}" name="Expenses - Non-Editorial" dataDxfId="20" dataCellStyle="Currency">
      <calculatedColumnFormula>SUM(Table1[[#This Row],[Expenses - Revenue Generation]:[Expenses - Admin]])</calculatedColumnFormula>
    </tableColumn>
    <tableColumn id="293" xr3:uid="{FC2232B6-A8E9-4D24-AAA8-252B6167CA5D}" name="Expenses - Revenue Generation" dataDxfId="19" dataCellStyle="Currency"/>
    <tableColumn id="294" xr3:uid="{4CFDF4C0-DB23-455A-82FD-2E2317406529}" name="Expenses - Tech" dataDxfId="18" dataCellStyle="Currency"/>
    <tableColumn id="295" xr3:uid="{1B878B47-AAB1-4234-A51F-C601544D3F58}" name="Expenses - Admin" dataDxfId="17" dataCellStyle="Currency"/>
    <tableColumn id="8" xr3:uid="{0EC6129D-A54F-46FD-B6B6-D49BC4B9911B}" name="Total FTE" dataDxfId="16" dataCellStyle="Currency">
      <calculatedColumnFormula>Table1[[#This Row],[Total FTE - Editorial]]+Table1[[#This Row],[Total FTE - Non-Editorial]]</calculatedColumnFormula>
    </tableColumn>
    <tableColumn id="6" xr3:uid="{46D5EB1B-1C2A-4550-A582-BB775CB0067B}" name="Total FTE - Editorial" dataDxfId="15" dataCellStyle="Currency">
      <calculatedColumnFormula>Table1[[#This Row],[FTE Salaried - Editorial]]+Table1[[#This Row],[FTE Contractors - Editorial]]</calculatedColumnFormula>
    </tableColumn>
    <tableColumn id="221" xr3:uid="{5A6EFA0A-1E7E-4FAC-ADFE-A624C9F4C873}" name="FTE Salaried - Editorial" dataDxfId="14"/>
    <tableColumn id="222" xr3:uid="{5777D873-04AB-403B-ABF6-1A7E586449E6}" name="FTE Contractors - Editorial" dataDxfId="13"/>
    <tableColumn id="7" xr3:uid="{592D9DCF-1000-4F4A-814E-A90994D9B85E}" name="Total FTE - Non-Editorial" dataDxfId="12">
      <calculatedColumnFormula>Table1[[#This Row],[FTE Salaried - Non-Editorial]]+Table1[[#This Row],[FTE Contractors - Non-Editorial]]</calculatedColumnFormula>
    </tableColumn>
    <tableColumn id="223" xr3:uid="{CB31666F-F1AC-464E-B1F2-44A038CD67A4}" name="FTE Salaried - Non-Editorial" dataDxfId="11"/>
    <tableColumn id="224" xr3:uid="{A69D5AB5-C010-4186-B031-7377FA1C1D37}" name="FTE Contractors - Non-Editorial" dataDxfId="10"/>
    <tableColumn id="298" xr3:uid="{BFF7EEF6-64E0-42A2-B58A-FC955905E3C1}" name="Primary Medium" dataDxfId="9"/>
    <tableColumn id="299" xr3:uid="{B1CDFDF6-EBB1-4A4C-82A1-971B3A1221A7}" name="Medium Other" dataDxfId="8"/>
    <tableColumn id="302" xr3:uid="{1F1AD40F-8ACA-414F-8F9B-4E2ED85A0F3E}" name="Avg. Monthly Uniques" dataDxfId="7"/>
    <tableColumn id="303" xr3:uid="{4E252B78-DBA6-42C1-80C0-9DD981537433}" name="Newsletter Subs" dataDxfId="6"/>
    <tableColumn id="304" xr3:uid="{29BB329B-3201-47ED-902F-6538CB05F403}" name="Total Print Run" dataDxfId="5"/>
    <tableColumn id="305" xr3:uid="{EE4AADAF-1C41-449A-9487-E1BAE1BFF7C7}" name="Print Publications" dataDxfId="4"/>
    <tableColumn id="306" xr3:uid="{BD04BE57-5002-4753-95B7-6E796EC4E89F}" name="Broadcast Reach" dataDxfId="3"/>
    <tableColumn id="307" xr3:uid="{9603C66E-CE1E-49BA-8D98-BE618D7B5A4E}" name="Broadcast Units"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21036-5C37-4C9B-9476-1D06C547E60F}">
  <sheetPr>
    <tabColor theme="8" tint="0.39997558519241921"/>
  </sheetPr>
  <dimension ref="A1:F17"/>
  <sheetViews>
    <sheetView view="pageBreakPreview" zoomScale="160" zoomScaleNormal="145" zoomScaleSheetLayoutView="160" workbookViewId="0">
      <selection activeCell="A14" sqref="A14"/>
    </sheetView>
  </sheetViews>
  <sheetFormatPr defaultColWidth="9.140625" defaultRowHeight="12" x14ac:dyDescent="0.2"/>
  <cols>
    <col min="1" max="1" width="17.7109375" style="134" customWidth="1"/>
    <col min="2" max="2" width="14.42578125" style="134" customWidth="1"/>
    <col min="3" max="3" width="10.85546875" style="134" customWidth="1"/>
    <col min="4" max="16384" width="9.140625" style="134"/>
  </cols>
  <sheetData>
    <row r="1" spans="1:6" x14ac:dyDescent="0.2">
      <c r="A1" s="133" t="s">
        <v>0</v>
      </c>
      <c r="F1" s="210" t="s">
        <v>1</v>
      </c>
    </row>
    <row r="2" spans="1:6" x14ac:dyDescent="0.2">
      <c r="A2" s="133" t="s">
        <v>2</v>
      </c>
    </row>
    <row r="3" spans="1:6" x14ac:dyDescent="0.2">
      <c r="A3" s="135" t="s">
        <v>3</v>
      </c>
    </row>
    <row r="4" spans="1:6" x14ac:dyDescent="0.2">
      <c r="A4" s="154" t="s">
        <v>4</v>
      </c>
    </row>
    <row r="5" spans="1:6" x14ac:dyDescent="0.2">
      <c r="A5" s="154"/>
    </row>
    <row r="6" spans="1:6" x14ac:dyDescent="0.2">
      <c r="A6" s="140" t="s">
        <v>5</v>
      </c>
      <c r="B6" s="140"/>
      <c r="C6" s="140"/>
    </row>
    <row r="7" spans="1:6" x14ac:dyDescent="0.2">
      <c r="A7" s="147"/>
      <c r="B7" s="147" t="s">
        <v>6</v>
      </c>
      <c r="C7" s="147" t="s">
        <v>7</v>
      </c>
    </row>
    <row r="8" spans="1:6" x14ac:dyDescent="0.2">
      <c r="A8" s="221" t="s">
        <v>8</v>
      </c>
      <c r="B8" s="223">
        <v>0.8</v>
      </c>
      <c r="C8" s="226">
        <v>0.2</v>
      </c>
    </row>
    <row r="9" spans="1:6" x14ac:dyDescent="0.2">
      <c r="A9" s="221" t="s">
        <v>9</v>
      </c>
      <c r="B9" s="224">
        <v>0.6</v>
      </c>
      <c r="C9" s="227">
        <v>0.4</v>
      </c>
    </row>
    <row r="10" spans="1:6" x14ac:dyDescent="0.2">
      <c r="A10" s="221" t="s">
        <v>10</v>
      </c>
      <c r="B10" s="224">
        <v>0.4</v>
      </c>
      <c r="C10" s="227">
        <v>0.6</v>
      </c>
    </row>
    <row r="11" spans="1:6" x14ac:dyDescent="0.2">
      <c r="A11" s="221" t="s">
        <v>11</v>
      </c>
      <c r="B11" s="224">
        <v>0.2</v>
      </c>
      <c r="C11" s="227">
        <v>0.8</v>
      </c>
    </row>
    <row r="12" spans="1:6" x14ac:dyDescent="0.2">
      <c r="A12" s="221" t="s">
        <v>12</v>
      </c>
      <c r="B12" s="225">
        <v>0.5</v>
      </c>
      <c r="C12" s="228">
        <v>0.5</v>
      </c>
    </row>
    <row r="13" spans="1:6" x14ac:dyDescent="0.2">
      <c r="A13" s="154"/>
    </row>
    <row r="14" spans="1:6" x14ac:dyDescent="0.2">
      <c r="A14" s="140" t="s">
        <v>13</v>
      </c>
      <c r="B14" s="140"/>
      <c r="C14" s="140"/>
      <c r="D14" s="140"/>
      <c r="E14" s="140"/>
      <c r="F14" s="140"/>
    </row>
    <row r="15" spans="1:6" x14ac:dyDescent="0.2">
      <c r="A15" s="147"/>
      <c r="B15" s="147" t="s">
        <v>14</v>
      </c>
      <c r="C15" s="147" t="s">
        <v>15</v>
      </c>
      <c r="D15" s="147" t="s">
        <v>16</v>
      </c>
      <c r="E15" s="147" t="s">
        <v>17</v>
      </c>
      <c r="F15" s="147" t="s">
        <v>18</v>
      </c>
    </row>
    <row r="16" spans="1:6" x14ac:dyDescent="0.2">
      <c r="A16" s="134" t="s">
        <v>19</v>
      </c>
    </row>
    <row r="17" spans="1:1" x14ac:dyDescent="0.2">
      <c r="A17" s="134" t="s">
        <v>20</v>
      </c>
    </row>
  </sheetData>
  <pageMargins left="0.7" right="0.7" top="0.75" bottom="0.75" header="0.3" footer="0.3"/>
  <pageSetup scale="71" orientation="portrait" horizontalDpi="1200" verticalDpi="1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97AF4-41DA-4BD9-816C-32BEF1C6FF9F}">
  <sheetPr>
    <tabColor theme="7" tint="0.39997558519241921"/>
  </sheetPr>
  <dimension ref="A1:K31"/>
  <sheetViews>
    <sheetView view="pageBreakPreview" zoomScale="130" zoomScaleNormal="100" zoomScaleSheetLayoutView="130" workbookViewId="0">
      <selection activeCell="B1" sqref="B1"/>
    </sheetView>
  </sheetViews>
  <sheetFormatPr defaultColWidth="9.140625" defaultRowHeight="12" x14ac:dyDescent="0.2"/>
  <cols>
    <col min="1" max="1" width="1.85546875" style="134" bestFit="1" customWidth="1"/>
    <col min="2" max="2" width="16.7109375" style="134" customWidth="1"/>
    <col min="3" max="3" width="16.42578125" style="134" bestFit="1" customWidth="1"/>
    <col min="4" max="11" width="15.5703125" style="134" customWidth="1"/>
    <col min="12" max="16384" width="9.140625" style="134"/>
  </cols>
  <sheetData>
    <row r="1" spans="1:11" x14ac:dyDescent="0.2">
      <c r="B1" s="133" t="s">
        <v>941</v>
      </c>
      <c r="J1" s="210"/>
    </row>
    <row r="2" spans="1:11" x14ac:dyDescent="0.2">
      <c r="B2" s="133" t="s">
        <v>2</v>
      </c>
    </row>
    <row r="3" spans="1:11" x14ac:dyDescent="0.2">
      <c r="B3" s="135" t="str">
        <f>INSTRUCTIONS!A3</f>
        <v>March 2022</v>
      </c>
    </row>
    <row r="4" spans="1:11" x14ac:dyDescent="0.2">
      <c r="B4" s="135" t="s">
        <v>90</v>
      </c>
    </row>
    <row r="5" spans="1:11" x14ac:dyDescent="0.2">
      <c r="B5" s="133"/>
    </row>
    <row r="6" spans="1:11" x14ac:dyDescent="0.2">
      <c r="B6" s="140" t="s">
        <v>146</v>
      </c>
      <c r="C6" s="141"/>
      <c r="D6" s="141"/>
      <c r="E6" s="139"/>
    </row>
    <row r="7" spans="1:11" x14ac:dyDescent="0.2">
      <c r="B7" s="145" t="s">
        <v>147</v>
      </c>
      <c r="C7" s="145" t="s">
        <v>148</v>
      </c>
      <c r="D7" s="143" t="s">
        <v>149</v>
      </c>
    </row>
    <row r="8" spans="1:11" x14ac:dyDescent="0.2">
      <c r="B8" s="134" t="s">
        <v>61</v>
      </c>
      <c r="C8" s="144" t="s">
        <v>150</v>
      </c>
      <c r="D8" s="142">
        <v>0.5</v>
      </c>
    </row>
    <row r="9" spans="1:11" x14ac:dyDescent="0.2">
      <c r="B9" s="134" t="s">
        <v>62</v>
      </c>
      <c r="C9" s="144" t="s">
        <v>151</v>
      </c>
      <c r="D9" s="142">
        <v>1</v>
      </c>
    </row>
    <row r="10" spans="1:11" x14ac:dyDescent="0.2">
      <c r="B10" s="134" t="s">
        <v>63</v>
      </c>
      <c r="C10" s="144" t="s">
        <v>152</v>
      </c>
      <c r="D10" s="142">
        <v>2</v>
      </c>
    </row>
    <row r="11" spans="1:11" x14ac:dyDescent="0.2">
      <c r="B11" s="134" t="s">
        <v>64</v>
      </c>
      <c r="C11" s="144" t="s">
        <v>153</v>
      </c>
      <c r="D11" s="142">
        <v>3</v>
      </c>
    </row>
    <row r="12" spans="1:11" x14ac:dyDescent="0.2">
      <c r="B12" s="134" t="s">
        <v>65</v>
      </c>
      <c r="C12" s="144" t="s">
        <v>154</v>
      </c>
      <c r="D12" s="142">
        <v>4</v>
      </c>
    </row>
    <row r="14" spans="1:11" x14ac:dyDescent="0.2">
      <c r="B14" s="140" t="s">
        <v>155</v>
      </c>
      <c r="C14" s="140"/>
      <c r="D14" s="140"/>
      <c r="E14" s="140"/>
      <c r="F14" s="140"/>
      <c r="G14" s="140"/>
      <c r="H14" s="140"/>
      <c r="I14" s="140"/>
      <c r="J14" s="140"/>
      <c r="K14" s="140"/>
    </row>
    <row r="15" spans="1:11" ht="24" x14ac:dyDescent="0.2">
      <c r="A15" s="134">
        <v>1</v>
      </c>
      <c r="B15" s="146" t="s">
        <v>58</v>
      </c>
      <c r="C15" s="147" t="s">
        <v>156</v>
      </c>
      <c r="D15" s="147" t="s">
        <v>59</v>
      </c>
      <c r="E15" s="147" t="s">
        <v>50</v>
      </c>
      <c r="F15" s="147" t="s">
        <v>51</v>
      </c>
      <c r="G15" s="147" t="s">
        <v>52</v>
      </c>
      <c r="H15" s="147" t="s">
        <v>53</v>
      </c>
      <c r="I15" s="147" t="s">
        <v>54</v>
      </c>
      <c r="J15" s="147" t="s">
        <v>55</v>
      </c>
      <c r="K15" s="147" t="s">
        <v>56</v>
      </c>
    </row>
    <row r="16" spans="1:11" x14ac:dyDescent="0.2">
      <c r="A16" s="134">
        <v>2</v>
      </c>
      <c r="B16" s="134" t="s">
        <v>61</v>
      </c>
      <c r="C16" s="151">
        <f>SUMIF('State Data Rollup &amp; Size Tags'!$B$7:$B$57,'Coverage Units by State Size'!$B16,'State Data Rollup &amp; Size Tags'!$C$7:$C$57)</f>
        <v>5260527</v>
      </c>
      <c r="D16" s="244">
        <f>C16/100000</f>
        <v>52.605269999999997</v>
      </c>
      <c r="E16" s="148">
        <f>SUMIF('State Data Rollup &amp; Size Tags'!$B$7:$B$57,'Coverage Units by State Size'!$B16,'State Data Rollup &amp; Size Tags'!$D$7:$D$57)</f>
        <v>6</v>
      </c>
      <c r="F16" s="148">
        <f>SUMIF('State Data Rollup &amp; Size Tags'!$B$7:$B$57,'Coverage Units by State Size'!$B16,'State Data Rollup &amp; Size Tags'!$E$7:$E$57)</f>
        <v>737</v>
      </c>
      <c r="G16" s="148">
        <f>SUMIF('State Data Rollup &amp; Size Tags'!$B$7:$B$57,'Coverage Units by State Size'!$B16,'State Data Rollup &amp; Size Tags'!$F$7:$F$57)</f>
        <v>2301</v>
      </c>
      <c r="H16" s="148">
        <f>SUMIF('State Data Rollup &amp; Size Tags'!$B$7:$B$57,'Coverage Units by State Size'!$B16,'State Data Rollup &amp; Size Tags'!$G$7:$G$57)</f>
        <v>2447</v>
      </c>
      <c r="I16" s="148">
        <f>SUMIF('State Data Rollup &amp; Size Tags'!$B$7:$B$57,'Coverage Units by State Size'!$B16,'State Data Rollup &amp; Size Tags'!$H$7:$H$57)</f>
        <v>1016</v>
      </c>
      <c r="J16" s="148">
        <f>SUMIF('State Data Rollup &amp; Size Tags'!$B$7:$B$57,'Coverage Units by State Size'!$B16,'State Data Rollup &amp; Size Tags'!$I$7:$I$57)</f>
        <v>174</v>
      </c>
      <c r="K16" s="148">
        <f>SUMIF('State Data Rollup &amp; Size Tags'!$B$7:$B$57,'Coverage Units by State Size'!$B16,'State Data Rollup &amp; Size Tags'!$J$7:$J$57)</f>
        <v>6</v>
      </c>
    </row>
    <row r="17" spans="1:11" x14ac:dyDescent="0.2">
      <c r="A17" s="134">
        <f>A16+1</f>
        <v>3</v>
      </c>
      <c r="B17" s="134" t="s">
        <v>62</v>
      </c>
      <c r="C17" s="151">
        <f>SUMIF('State Data Rollup &amp; Size Tags'!$B$7:$B$57,'Coverage Units by State Size'!$B17,'State Data Rollup &amp; Size Tags'!$C$7:$C$57)</f>
        <v>57966481</v>
      </c>
      <c r="D17" s="244">
        <f t="shared" ref="D17:D20" si="0">C17/100000</f>
        <v>579.66480999999999</v>
      </c>
      <c r="E17" s="148">
        <f>SUMIF('State Data Rollup &amp; Size Tags'!$B$7:$B$57,'Coverage Units by State Size'!$B17,'State Data Rollup &amp; Size Tags'!$D$7:$D$57)</f>
        <v>78</v>
      </c>
      <c r="F17" s="148">
        <f>SUMIF('State Data Rollup &amp; Size Tags'!$B$7:$B$57,'Coverage Units by State Size'!$B17,'State Data Rollup &amp; Size Tags'!$E$7:$E$57)</f>
        <v>3749</v>
      </c>
      <c r="G17" s="148">
        <f>SUMIF('State Data Rollup &amp; Size Tags'!$B$7:$B$57,'Coverage Units by State Size'!$B17,'State Data Rollup &amp; Size Tags'!$F$7:$F$57)</f>
        <v>11294</v>
      </c>
      <c r="H17" s="148">
        <f>SUMIF('State Data Rollup &amp; Size Tags'!$B$7:$B$57,'Coverage Units by State Size'!$B17,'State Data Rollup &amp; Size Tags'!$G$7:$G$57)</f>
        <v>2497</v>
      </c>
      <c r="I17" s="148">
        <f>SUMIF('State Data Rollup &amp; Size Tags'!$B$7:$B$57,'Coverage Units by State Size'!$B17,'State Data Rollup &amp; Size Tags'!$H$7:$H$57)</f>
        <v>5918</v>
      </c>
      <c r="J17" s="148">
        <f>SUMIF('State Data Rollup &amp; Size Tags'!$B$7:$B$57,'Coverage Units by State Size'!$B17,'State Data Rollup &amp; Size Tags'!$I$7:$I$57)</f>
        <v>1070</v>
      </c>
      <c r="K17" s="148">
        <f>SUMIF('State Data Rollup &amp; Size Tags'!$B$7:$B$57,'Coverage Units by State Size'!$B17,'State Data Rollup &amp; Size Tags'!$J$7:$J$57)</f>
        <v>21</v>
      </c>
    </row>
    <row r="18" spans="1:11" x14ac:dyDescent="0.2">
      <c r="A18" s="134">
        <f t="shared" ref="A18:A20" si="1">A17+1</f>
        <v>4</v>
      </c>
      <c r="B18" s="134" t="s">
        <v>63</v>
      </c>
      <c r="C18" s="151">
        <f>SUMIF('State Data Rollup &amp; Size Tags'!$B$7:$B$57,'Coverage Units by State Size'!$B18,'State Data Rollup &amp; Size Tags'!$C$7:$C$57)</f>
        <v>97304696</v>
      </c>
      <c r="D18" s="244">
        <f t="shared" si="0"/>
        <v>973.04696000000001</v>
      </c>
      <c r="E18" s="148">
        <f>SUMIF('State Data Rollup &amp; Size Tags'!$B$7:$B$57,'Coverage Units by State Size'!$B18,'State Data Rollup &amp; Size Tags'!$D$7:$D$57)</f>
        <v>129</v>
      </c>
      <c r="F18" s="148">
        <f>SUMIF('State Data Rollup &amp; Size Tags'!$B$7:$B$57,'Coverage Units by State Size'!$B18,'State Data Rollup &amp; Size Tags'!$E$7:$E$57)</f>
        <v>4203</v>
      </c>
      <c r="G18" s="148">
        <f>SUMIF('State Data Rollup &amp; Size Tags'!$B$7:$B$57,'Coverage Units by State Size'!$B18,'State Data Rollup &amp; Size Tags'!$F$7:$F$57)</f>
        <v>10303</v>
      </c>
      <c r="H18" s="148">
        <f>SUMIF('State Data Rollup &amp; Size Tags'!$B$7:$B$57,'Coverage Units by State Size'!$B18,'State Data Rollup &amp; Size Tags'!$G$7:$G$57)</f>
        <v>6097</v>
      </c>
      <c r="I18" s="148">
        <f>SUMIF('State Data Rollup &amp; Size Tags'!$B$7:$B$57,'Coverage Units by State Size'!$B18,'State Data Rollup &amp; Size Tags'!$H$7:$H$57)</f>
        <v>5518</v>
      </c>
      <c r="J18" s="148">
        <f>SUMIF('State Data Rollup &amp; Size Tags'!$B$7:$B$57,'Coverage Units by State Size'!$B18,'State Data Rollup &amp; Size Tags'!$I$7:$I$57)</f>
        <v>845</v>
      </c>
      <c r="K18" s="148">
        <f>SUMIF('State Data Rollup &amp; Size Tags'!$B$7:$B$57,'Coverage Units by State Size'!$B18,'State Data Rollup &amp; Size Tags'!$J$7:$J$57)</f>
        <v>14</v>
      </c>
    </row>
    <row r="19" spans="1:11" x14ac:dyDescent="0.2">
      <c r="A19" s="134">
        <f t="shared" si="1"/>
        <v>5</v>
      </c>
      <c r="B19" s="134" t="s">
        <v>64</v>
      </c>
      <c r="C19" s="151">
        <f>SUMIF('State Data Rollup &amp; Size Tags'!$B$7:$B$57,'Coverage Units by State Size'!$B19,'State Data Rollup &amp; Size Tags'!$C$7:$C$57)</f>
        <v>58268417</v>
      </c>
      <c r="D19" s="244">
        <f t="shared" si="0"/>
        <v>582.68416999999999</v>
      </c>
      <c r="E19" s="148">
        <f>SUMIF('State Data Rollup &amp; Size Tags'!$B$7:$B$57,'Coverage Units by State Size'!$B19,'State Data Rollup &amp; Size Tags'!$D$7:$D$57)</f>
        <v>79</v>
      </c>
      <c r="F19" s="148">
        <f>SUMIF('State Data Rollup &amp; Size Tags'!$B$7:$B$57,'Coverage Units by State Size'!$B19,'State Data Rollup &amp; Size Tags'!$E$7:$E$57)</f>
        <v>2420</v>
      </c>
      <c r="G19" s="148">
        <f>SUMIF('State Data Rollup &amp; Size Tags'!$B$7:$B$57,'Coverage Units by State Size'!$B19,'State Data Rollup &amp; Size Tags'!$F$7:$F$57)</f>
        <v>6628</v>
      </c>
      <c r="H19" s="148">
        <f>SUMIF('State Data Rollup &amp; Size Tags'!$B$7:$B$57,'Coverage Units by State Size'!$B19,'State Data Rollup &amp; Size Tags'!$G$7:$G$57)</f>
        <v>4283</v>
      </c>
      <c r="I19" s="148">
        <f>SUMIF('State Data Rollup &amp; Size Tags'!$B$7:$B$57,'Coverage Units by State Size'!$B19,'State Data Rollup &amp; Size Tags'!$H$7:$H$57)</f>
        <v>4330</v>
      </c>
      <c r="J19" s="148">
        <f>SUMIF('State Data Rollup &amp; Size Tags'!$B$7:$B$57,'Coverage Units by State Size'!$B19,'State Data Rollup &amp; Size Tags'!$I$7:$I$57)</f>
        <v>508</v>
      </c>
      <c r="K19" s="148">
        <f>SUMIF('State Data Rollup &amp; Size Tags'!$B$7:$B$57,'Coverage Units by State Size'!$B19,'State Data Rollup &amp; Size Tags'!$J$7:$J$57)</f>
        <v>5</v>
      </c>
    </row>
    <row r="20" spans="1:11" x14ac:dyDescent="0.2">
      <c r="A20" s="134">
        <f t="shared" si="1"/>
        <v>6</v>
      </c>
      <c r="B20" s="137" t="s">
        <v>65</v>
      </c>
      <c r="C20" s="152">
        <f>SUMIF('State Data Rollup &amp; Size Tags'!$B$7:$B$57,'Coverage Units by State Size'!$B20,'State Data Rollup &amp; Size Tags'!$C$7:$C$57)</f>
        <v>109439402</v>
      </c>
      <c r="D20" s="245">
        <f t="shared" si="0"/>
        <v>1094.39402</v>
      </c>
      <c r="E20" s="149">
        <f>SUMIF('State Data Rollup &amp; Size Tags'!$B$7:$B$57,'Coverage Units by State Size'!$B20,'State Data Rollup &amp; Size Tags'!$D$7:$D$57)</f>
        <v>143</v>
      </c>
      <c r="F20" s="149">
        <f>SUMIF('State Data Rollup &amp; Size Tags'!$B$7:$B$57,'Coverage Units by State Size'!$B20,'State Data Rollup &amp; Size Tags'!$E$7:$E$57)</f>
        <v>2952</v>
      </c>
      <c r="G20" s="149">
        <f>SUMIF('State Data Rollup &amp; Size Tags'!$B$7:$B$57,'Coverage Units by State Size'!$B20,'State Data Rollup &amp; Size Tags'!$F$7:$F$57)</f>
        <v>8016</v>
      </c>
      <c r="H20" s="149">
        <f>SUMIF('State Data Rollup &amp; Size Tags'!$B$7:$B$57,'Coverage Units by State Size'!$B20,'State Data Rollup &amp; Size Tags'!$G$7:$G$57)</f>
        <v>929</v>
      </c>
      <c r="I20" s="149">
        <f>SUMIF('State Data Rollup &amp; Size Tags'!$B$7:$B$57,'Coverage Units by State Size'!$B20,'State Data Rollup &amp; Size Tags'!$H$7:$H$57)</f>
        <v>2713</v>
      </c>
      <c r="J20" s="149">
        <f>SUMIF('State Data Rollup &amp; Size Tags'!$B$7:$B$57,'Coverage Units by State Size'!$B20,'State Data Rollup &amp; Size Tags'!$I$7:$I$57)</f>
        <v>434</v>
      </c>
      <c r="K20" s="149">
        <f>SUMIF('State Data Rollup &amp; Size Tags'!$B$7:$B$57,'Coverage Units by State Size'!$B20,'State Data Rollup &amp; Size Tags'!$J$7:$J$57)</f>
        <v>4</v>
      </c>
    </row>
    <row r="21" spans="1:11" x14ac:dyDescent="0.2">
      <c r="B21" s="133" t="s">
        <v>60</v>
      </c>
      <c r="C21" s="153">
        <f t="shared" ref="C21:K21" si="2">SUM(C16:C20)</f>
        <v>328239523</v>
      </c>
      <c r="D21" s="246">
        <f t="shared" si="2"/>
        <v>3282.3952300000001</v>
      </c>
      <c r="E21" s="150">
        <f t="shared" si="2"/>
        <v>435</v>
      </c>
      <c r="F21" s="150">
        <f>SUM(F16:F20)</f>
        <v>14061</v>
      </c>
      <c r="G21" s="150">
        <f>SUM(G16:G20)</f>
        <v>38542</v>
      </c>
      <c r="H21" s="150">
        <f>SUM(H16:H20)</f>
        <v>16253</v>
      </c>
      <c r="I21" s="150">
        <f t="shared" si="2"/>
        <v>19495</v>
      </c>
      <c r="J21" s="150">
        <f t="shared" si="2"/>
        <v>3031</v>
      </c>
      <c r="K21" s="150">
        <f t="shared" si="2"/>
        <v>50</v>
      </c>
    </row>
    <row r="24" spans="1:11" x14ac:dyDescent="0.2">
      <c r="B24" s="140" t="s">
        <v>157</v>
      </c>
      <c r="C24" s="140"/>
      <c r="D24" s="140"/>
      <c r="E24" s="140"/>
      <c r="G24" s="243"/>
    </row>
    <row r="25" spans="1:11" ht="24" x14ac:dyDescent="0.2">
      <c r="B25" s="146" t="s">
        <v>58</v>
      </c>
      <c r="C25" s="147" t="s">
        <v>158</v>
      </c>
      <c r="D25" s="147" t="s">
        <v>159</v>
      </c>
      <c r="E25" s="147" t="s">
        <v>160</v>
      </c>
    </row>
    <row r="26" spans="1:11" x14ac:dyDescent="0.2">
      <c r="B26" s="134" t="s">
        <v>61</v>
      </c>
      <c r="C26" s="206">
        <f>SUMIF('State Data Rollup &amp; Size Tags'!$B$7:$B$57,'Coverage Units by State Size'!$B26,'State Data Rollup &amp; Size Tags'!$K$7:$K$57)</f>
        <v>1613052668</v>
      </c>
      <c r="D26" s="206">
        <f>SUMIF('State Data Rollup &amp; Size Tags'!$B$7:$B$57,'Coverage Units by State Size'!$B26,'State Data Rollup &amp; Size Tags'!$L$7:$L$57)</f>
        <v>25270958584</v>
      </c>
      <c r="E26" s="205">
        <f>SUMIF('State Data Rollup &amp; Size Tags'!$B$7:$B$57,'Coverage Units by State Size'!$B26,'State Data Rollup &amp; Size Tags'!$M$7:$M$57)</f>
        <v>2466</v>
      </c>
    </row>
    <row r="27" spans="1:11" x14ac:dyDescent="0.2">
      <c r="B27" s="134" t="s">
        <v>62</v>
      </c>
      <c r="C27" s="206">
        <f>SUMIF('State Data Rollup &amp; Size Tags'!$B$7:$B$57,'Coverage Units by State Size'!$B27,'State Data Rollup &amp; Size Tags'!$K$7:$K$57)</f>
        <v>6727083381</v>
      </c>
      <c r="D27" s="206">
        <f>SUMIF('State Data Rollup &amp; Size Tags'!$B$7:$B$57,'Coverage Units by State Size'!$B27,'State Data Rollup &amp; Size Tags'!$L$7:$L$57)</f>
        <v>96369688839</v>
      </c>
      <c r="E27" s="205">
        <f>SUMIF('State Data Rollup &amp; Size Tags'!$B$7:$B$57,'Coverage Units by State Size'!$B27,'State Data Rollup &amp; Size Tags'!$M$7:$M$57)</f>
        <v>14119</v>
      </c>
    </row>
    <row r="28" spans="1:11" x14ac:dyDescent="0.2">
      <c r="B28" s="134" t="s">
        <v>63</v>
      </c>
      <c r="C28" s="206">
        <f>SUMIF('State Data Rollup &amp; Size Tags'!$B$7:$B$57,'Coverage Units by State Size'!$B28,'State Data Rollup &amp; Size Tags'!$K$7:$K$57)</f>
        <v>20266185382</v>
      </c>
      <c r="D28" s="206">
        <f>SUMIF('State Data Rollup &amp; Size Tags'!$B$7:$B$57,'Coverage Units by State Size'!$B28,'State Data Rollup &amp; Size Tags'!$L$7:$L$57)</f>
        <v>253463725900</v>
      </c>
      <c r="E28" s="205">
        <f>SUMIF('State Data Rollup &amp; Size Tags'!$B$7:$B$57,'Coverage Units by State Size'!$B28,'State Data Rollup &amp; Size Tags'!$M$7:$M$57)</f>
        <v>21738</v>
      </c>
    </row>
    <row r="29" spans="1:11" x14ac:dyDescent="0.2">
      <c r="B29" s="134" t="s">
        <v>64</v>
      </c>
      <c r="C29" s="206">
        <f>SUMIF('State Data Rollup &amp; Size Tags'!$B$7:$B$57,'Coverage Units by State Size'!$B29,'State Data Rollup &amp; Size Tags'!$K$7:$K$57)</f>
        <v>10359175051</v>
      </c>
      <c r="D29" s="206">
        <f>SUMIF('State Data Rollup &amp; Size Tags'!$B$7:$B$57,'Coverage Units by State Size'!$B29,'State Data Rollup &amp; Size Tags'!$L$7:$L$57)</f>
        <v>134317696212</v>
      </c>
      <c r="E29" s="205">
        <f>SUMIF('State Data Rollup &amp; Size Tags'!$B$7:$B$57,'Coverage Units by State Size'!$B29,'State Data Rollup &amp; Size Tags'!$M$7:$M$57)</f>
        <v>20543</v>
      </c>
      <c r="I29" s="243"/>
    </row>
    <row r="30" spans="1:11" x14ac:dyDescent="0.2">
      <c r="B30" s="137" t="s">
        <v>65</v>
      </c>
      <c r="C30" s="207">
        <f>SUMIF('State Data Rollup &amp; Size Tags'!$B$7:$B$57,'Coverage Units by State Size'!$B30,'State Data Rollup &amp; Size Tags'!$K$7:$K$57)</f>
        <v>23828112362</v>
      </c>
      <c r="D30" s="207">
        <f>SUMIF('State Data Rollup &amp; Size Tags'!$B$7:$B$57,'Coverage Units by State Size'!$B30,'State Data Rollup &amp; Size Tags'!$L$7:$L$57)</f>
        <v>358567309612</v>
      </c>
      <c r="E30" s="152">
        <f>SUMIF('State Data Rollup &amp; Size Tags'!$B$7:$B$57,'Coverage Units by State Size'!$B30,'State Data Rollup &amp; Size Tags'!$M$7:$M$57)</f>
        <v>27337</v>
      </c>
    </row>
    <row r="31" spans="1:11" x14ac:dyDescent="0.2">
      <c r="B31" s="133" t="s">
        <v>60</v>
      </c>
      <c r="C31" s="208">
        <f t="shared" ref="C31" si="3">SUM(C26:C30)</f>
        <v>62793608844</v>
      </c>
      <c r="D31" s="209">
        <f t="shared" ref="D31" si="4">SUM(D26:D30)</f>
        <v>867989379147</v>
      </c>
      <c r="E31" s="150">
        <f t="shared" ref="E31" si="5">SUM(E26:E30)</f>
        <v>86203</v>
      </c>
    </row>
  </sheetData>
  <pageMargins left="0.7" right="0.7" top="0.75" bottom="0.75" header="0.3" footer="0.3"/>
  <pageSetup scale="55" orientation="portrait" horizontalDpi="1200" verticalDpi="120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728E8-4499-4E4C-9AFB-61722A5E0F41}">
  <sheetPr>
    <tabColor theme="7" tint="0.39997558519241921"/>
  </sheetPr>
  <dimension ref="A1:M59"/>
  <sheetViews>
    <sheetView view="pageBreakPreview" topLeftCell="A3" zoomScale="115" zoomScaleNormal="100" zoomScaleSheetLayoutView="115" workbookViewId="0">
      <selection activeCell="A3" sqref="A3"/>
    </sheetView>
  </sheetViews>
  <sheetFormatPr defaultColWidth="9.140625" defaultRowHeight="15" outlineLevelRow="1" x14ac:dyDescent="0.25"/>
  <cols>
    <col min="1" max="1" width="13.7109375" customWidth="1"/>
    <col min="2" max="2" width="18.7109375" bestFit="1" customWidth="1"/>
    <col min="3" max="10" width="13.7109375" customWidth="1"/>
    <col min="11" max="11" width="17.28515625" bestFit="1" customWidth="1"/>
    <col min="12" max="12" width="18.42578125" bestFit="1" customWidth="1"/>
    <col min="13" max="13" width="13.7109375" customWidth="1"/>
  </cols>
  <sheetData>
    <row r="1" spans="1:13" hidden="1" outlineLevel="1" x14ac:dyDescent="0.25"/>
    <row r="2" spans="1:13" ht="15" hidden="1" customHeight="1" outlineLevel="1" x14ac:dyDescent="0.25">
      <c r="A2" s="134"/>
      <c r="B2" s="134"/>
      <c r="C2" s="134"/>
      <c r="D2" s="134"/>
      <c r="E2" s="134"/>
      <c r="F2" s="202" t="str">
        <f>'Census of Govts Data'!C10</f>
        <v>Special Purpose Governments - Special District Governments</v>
      </c>
      <c r="G2" s="202" t="str">
        <f>'Census of Govts Data'!C9</f>
        <v>Subcounty Governments - Township Governments</v>
      </c>
      <c r="H2" s="202" t="str">
        <f>'Census of Govts Data'!C8</f>
        <v>Subcounty Governments - Municipal Governments</v>
      </c>
      <c r="I2" s="202" t="str">
        <f>'Census of Govts Data'!C6</f>
        <v>County Governments</v>
      </c>
      <c r="J2" s="134"/>
      <c r="K2" s="134"/>
      <c r="L2" s="134"/>
      <c r="M2" s="134"/>
    </row>
    <row r="3" spans="1:13" collapsed="1" x14ac:dyDescent="0.25">
      <c r="A3" s="133" t="s">
        <v>941</v>
      </c>
      <c r="B3" s="134"/>
      <c r="C3" s="134"/>
      <c r="D3" s="134"/>
      <c r="E3" s="134"/>
      <c r="F3" s="134"/>
      <c r="G3" s="134"/>
      <c r="H3" s="134"/>
      <c r="I3" s="134"/>
      <c r="J3" s="134"/>
      <c r="K3" s="134"/>
      <c r="L3" s="134"/>
      <c r="M3" s="210"/>
    </row>
    <row r="4" spans="1:13" x14ac:dyDescent="0.25">
      <c r="A4" s="133" t="s">
        <v>2</v>
      </c>
      <c r="B4" s="134"/>
      <c r="C4" s="134"/>
      <c r="D4" s="134"/>
      <c r="E4" s="134"/>
      <c r="F4" s="134"/>
      <c r="G4" s="134"/>
      <c r="H4" s="134"/>
      <c r="I4" s="134"/>
      <c r="J4" s="134"/>
      <c r="K4" s="134"/>
      <c r="L4" s="134"/>
      <c r="M4" s="134"/>
    </row>
    <row r="5" spans="1:13" ht="15.75" customHeight="1" x14ac:dyDescent="0.25">
      <c r="A5" s="133" t="s">
        <v>161</v>
      </c>
      <c r="B5" s="134"/>
      <c r="C5" s="134"/>
      <c r="D5" s="134"/>
      <c r="E5" s="134"/>
      <c r="F5" s="134"/>
      <c r="G5" s="134"/>
      <c r="H5" s="134"/>
      <c r="I5" s="134"/>
      <c r="J5" s="134"/>
      <c r="K5" s="134"/>
      <c r="L5" s="134"/>
      <c r="M5" s="134"/>
    </row>
    <row r="6" spans="1:13" s="1" customFormat="1" ht="24.75" x14ac:dyDescent="0.25">
      <c r="A6" s="133" t="s">
        <v>83</v>
      </c>
      <c r="B6" s="133" t="s">
        <v>162</v>
      </c>
      <c r="C6" s="270" t="s">
        <v>156</v>
      </c>
      <c r="D6" s="270" t="s">
        <v>169</v>
      </c>
      <c r="E6" s="270" t="s">
        <v>163</v>
      </c>
      <c r="F6" s="270" t="s">
        <v>166</v>
      </c>
      <c r="G6" s="270" t="s">
        <v>167</v>
      </c>
      <c r="H6" s="270" t="s">
        <v>164</v>
      </c>
      <c r="I6" s="270" t="s">
        <v>165</v>
      </c>
      <c r="J6" s="270" t="s">
        <v>168</v>
      </c>
      <c r="K6" s="270" t="s">
        <v>170</v>
      </c>
      <c r="L6" s="270" t="s">
        <v>171</v>
      </c>
      <c r="M6" s="270" t="s">
        <v>172</v>
      </c>
    </row>
    <row r="7" spans="1:13" x14ac:dyDescent="0.25">
      <c r="A7" s="134" t="s">
        <v>173</v>
      </c>
      <c r="B7" s="280" t="s">
        <v>62</v>
      </c>
      <c r="C7" s="136">
        <f>VLOOKUP(A7,'Pop. Data'!$A$10:$M$60,13,FALSE)</f>
        <v>4903185</v>
      </c>
      <c r="D7" s="134">
        <v>7</v>
      </c>
      <c r="E7" s="151">
        <f>VLOOKUP(A7,'School Districts'!$A$4:$D$54,4,FALSE)</f>
        <v>137</v>
      </c>
      <c r="F7" s="151">
        <f>VLOOKUP((_xlfn.CONCAT(A7," - ",'State Data Rollup &amp; Size Tags'!F$2)),'Census of Govts Data'!$A$3:$D$470,4,FALSE)</f>
        <v>530</v>
      </c>
      <c r="G7" s="151">
        <f>VLOOKUP((_xlfn.CONCAT(A7," - ",'State Data Rollup &amp; Size Tags'!G$2)),'Census of Govts Data'!$A$3:$D$470,4,FALSE)</f>
        <v>0</v>
      </c>
      <c r="H7" s="151">
        <f>VLOOKUP((_xlfn.CONCAT(A7," - ",'State Data Rollup &amp; Size Tags'!H$2)),'Census of Govts Data'!$A$3:$D$470,4,FALSE)</f>
        <v>461</v>
      </c>
      <c r="I7" s="151">
        <f>VLOOKUP((_xlfn.CONCAT(A7," - ",'State Data Rollup &amp; Size Tags'!I$2)),'Census of Govts Data'!$A$3:$D$470,4,FALSE)</f>
        <v>67</v>
      </c>
      <c r="J7" s="134">
        <v>1</v>
      </c>
      <c r="K7" s="253">
        <f>VLOOKUP(A7,'Phil. Data'!$A$6:$I$57,6,FALSE)</f>
        <v>229406215</v>
      </c>
      <c r="L7" s="253">
        <f>VLOOKUP(A7,'Phil. Data'!$A$6:$I$57,4,FALSE)</f>
        <v>3132542605</v>
      </c>
      <c r="M7" s="240">
        <f>VLOOKUP(A7,'Phil. Data'!$A$6:$I$57,8,FALSE)</f>
        <v>963</v>
      </c>
    </row>
    <row r="8" spans="1:13" x14ac:dyDescent="0.25">
      <c r="A8" s="134" t="s">
        <v>174</v>
      </c>
      <c r="B8" s="280" t="s">
        <v>61</v>
      </c>
      <c r="C8" s="136">
        <f>VLOOKUP(A8,'Pop. Data'!$A$10:$M$60,13,FALSE)</f>
        <v>731545</v>
      </c>
      <c r="D8" s="134">
        <v>1</v>
      </c>
      <c r="E8" s="151">
        <f>VLOOKUP(A8,'School Districts'!$A$4:$D$54,4,FALSE)</f>
        <v>55</v>
      </c>
      <c r="F8" s="151">
        <f>VLOOKUP((_xlfn.CONCAT(A8," - ",'State Data Rollup &amp; Size Tags'!F$2)),'Census of Govts Data'!$A$3:$D$470,4,FALSE)</f>
        <v>15</v>
      </c>
      <c r="G8" s="151">
        <f>VLOOKUP((_xlfn.CONCAT(A8," - ",'State Data Rollup &amp; Size Tags'!G$2)),'Census of Govts Data'!$A$3:$D$470,4,FALSE)</f>
        <v>0</v>
      </c>
      <c r="H8" s="151">
        <f>VLOOKUP((_xlfn.CONCAT(A8," - ",'State Data Rollup &amp; Size Tags'!H$2)),'Census of Govts Data'!$A$3:$D$470,4,FALSE)</f>
        <v>149</v>
      </c>
      <c r="I8" s="151">
        <f>VLOOKUP((_xlfn.CONCAT(A8," - ",'State Data Rollup &amp; Size Tags'!I$2)),'Census of Govts Data'!$A$3:$D$470,4,FALSE)</f>
        <v>15</v>
      </c>
      <c r="J8" s="134">
        <v>1</v>
      </c>
      <c r="K8" s="253">
        <f>VLOOKUP(A8,'Phil. Data'!$A$6:$I$57,6,FALSE)</f>
        <v>42426591</v>
      </c>
      <c r="L8" s="253">
        <f>VLOOKUP(A8,'Phil. Data'!$A$6:$I$57,4,FALSE)</f>
        <v>1048508349</v>
      </c>
      <c r="M8" s="240">
        <f>VLOOKUP(A8,'Phil. Data'!$A$6:$I$57,8,FALSE)</f>
        <v>85</v>
      </c>
    </row>
    <row r="9" spans="1:13" x14ac:dyDescent="0.25">
      <c r="A9" s="134" t="s">
        <v>175</v>
      </c>
      <c r="B9" s="280" t="s">
        <v>63</v>
      </c>
      <c r="C9" s="136">
        <f>VLOOKUP(A9,'Pop. Data'!$A$10:$M$60,13,FALSE)</f>
        <v>7278717</v>
      </c>
      <c r="D9" s="134">
        <v>9</v>
      </c>
      <c r="E9" s="151">
        <f>VLOOKUP(A9,'School Districts'!$A$4:$D$54,4,FALSE)</f>
        <v>254</v>
      </c>
      <c r="F9" s="151">
        <f>VLOOKUP((_xlfn.CONCAT(A9," - ",'State Data Rollup &amp; Size Tags'!F$2)),'Census of Govts Data'!$A$3:$D$470,4,FALSE)</f>
        <v>310</v>
      </c>
      <c r="G9" s="151">
        <f>VLOOKUP((_xlfn.CONCAT(A9," - ",'State Data Rollup &amp; Size Tags'!G$2)),'Census of Govts Data'!$A$3:$D$470,4,FALSE)</f>
        <v>0</v>
      </c>
      <c r="H9" s="151">
        <f>VLOOKUP((_xlfn.CONCAT(A9," - ",'State Data Rollup &amp; Size Tags'!H$2)),'Census of Govts Data'!$A$3:$D$470,4,FALSE)</f>
        <v>91</v>
      </c>
      <c r="I9" s="151">
        <f>VLOOKUP((_xlfn.CONCAT(A9," - ",'State Data Rollup &amp; Size Tags'!I$2)),'Census of Govts Data'!$A$3:$D$470,4,FALSE)</f>
        <v>15</v>
      </c>
      <c r="J9" s="134">
        <v>1</v>
      </c>
      <c r="K9" s="253">
        <f>VLOOKUP(A9,'Phil. Data'!$A$6:$I$57,6,FALSE)</f>
        <v>344965290</v>
      </c>
      <c r="L9" s="253">
        <f>VLOOKUP(A9,'Phil. Data'!$A$6:$I$57,4,FALSE)</f>
        <v>5397864427</v>
      </c>
      <c r="M9" s="240">
        <f>VLOOKUP(A9,'Phil. Data'!$A$6:$I$57,8,FALSE)</f>
        <v>834</v>
      </c>
    </row>
    <row r="10" spans="1:13" x14ac:dyDescent="0.25">
      <c r="A10" s="134" t="s">
        <v>176</v>
      </c>
      <c r="B10" s="280" t="s">
        <v>62</v>
      </c>
      <c r="C10" s="136">
        <f>VLOOKUP(A10,'Pop. Data'!$A$10:$M$60,13,FALSE)</f>
        <v>3017804</v>
      </c>
      <c r="D10" s="134">
        <v>4</v>
      </c>
      <c r="E10" s="151">
        <f>VLOOKUP(A10,'School Districts'!$A$4:$D$54,4,FALSE)</f>
        <v>235</v>
      </c>
      <c r="F10" s="151">
        <f>VLOOKUP((_xlfn.CONCAT(A10," - ",'State Data Rollup &amp; Size Tags'!F$2)),'Census of Govts Data'!$A$3:$D$470,4,FALSE)</f>
        <v>730</v>
      </c>
      <c r="G10" s="151">
        <f>VLOOKUP((_xlfn.CONCAT(A10," - ",'State Data Rollup &amp; Size Tags'!G$2)),'Census of Govts Data'!$A$3:$D$470,4,FALSE)</f>
        <v>0</v>
      </c>
      <c r="H10" s="151">
        <f>VLOOKUP((_xlfn.CONCAT(A10," - ",'State Data Rollup &amp; Size Tags'!H$2)),'Census of Govts Data'!$A$3:$D$470,4,FALSE)</f>
        <v>501</v>
      </c>
      <c r="I10" s="151">
        <f>VLOOKUP((_xlfn.CONCAT(A10," - ",'State Data Rollup &amp; Size Tags'!I$2)),'Census of Govts Data'!$A$3:$D$470,4,FALSE)</f>
        <v>75</v>
      </c>
      <c r="J10" s="134">
        <v>1</v>
      </c>
      <c r="K10" s="253">
        <f>VLOOKUP(A10,'Phil. Data'!$A$6:$I$57,6,FALSE)</f>
        <v>721774468</v>
      </c>
      <c r="L10" s="253">
        <f>VLOOKUP(A10,'Phil. Data'!$A$6:$I$57,4,FALSE)</f>
        <v>5286112856</v>
      </c>
      <c r="M10" s="240">
        <f>VLOOKUP(A10,'Phil. Data'!$A$6:$I$57,8,FALSE)</f>
        <v>328</v>
      </c>
    </row>
    <row r="11" spans="1:13" x14ac:dyDescent="0.25">
      <c r="A11" s="134" t="s">
        <v>177</v>
      </c>
      <c r="B11" s="280" t="s">
        <v>65</v>
      </c>
      <c r="C11" s="136">
        <f>VLOOKUP(A11,'Pop. Data'!$A$10:$M$60,13,FALSE)</f>
        <v>39512223</v>
      </c>
      <c r="D11" s="134">
        <v>53</v>
      </c>
      <c r="E11" s="151">
        <f>VLOOKUP(A11,'School Districts'!$A$4:$D$54,4,FALSE)</f>
        <v>1068</v>
      </c>
      <c r="F11" s="151">
        <f>VLOOKUP((_xlfn.CONCAT(A11," - ",'State Data Rollup &amp; Size Tags'!F$2)),'Census of Govts Data'!$A$3:$D$470,4,FALSE)</f>
        <v>2894</v>
      </c>
      <c r="G11" s="151">
        <f>VLOOKUP((_xlfn.CONCAT(A11," - ",'State Data Rollup &amp; Size Tags'!G$2)),'Census of Govts Data'!$A$3:$D$470,4,FALSE)</f>
        <v>0</v>
      </c>
      <c r="H11" s="151">
        <f>VLOOKUP((_xlfn.CONCAT(A11," - ",'State Data Rollup &amp; Size Tags'!H$2)),'Census of Govts Data'!$A$3:$D$470,4,FALSE)</f>
        <v>482</v>
      </c>
      <c r="I11" s="151">
        <f>VLOOKUP((_xlfn.CONCAT(A11," - ",'State Data Rollup &amp; Size Tags'!I$2)),'Census of Govts Data'!$A$3:$D$470,4,FALSE)</f>
        <v>57</v>
      </c>
      <c r="J11" s="134">
        <v>1</v>
      </c>
      <c r="K11" s="253">
        <f>VLOOKUP(A11,'Phil. Data'!$A$6:$I$57,6,FALSE)</f>
        <v>8372783639</v>
      </c>
      <c r="L11" s="253">
        <f>VLOOKUP(A11,'Phil. Data'!$A$6:$I$57,4,FALSE)</f>
        <v>133281787238</v>
      </c>
      <c r="M11" s="240">
        <f>VLOOKUP(A11,'Phil. Data'!$A$6:$I$57,8,FALSE)</f>
        <v>7650</v>
      </c>
    </row>
    <row r="12" spans="1:13" x14ac:dyDescent="0.25">
      <c r="A12" s="134" t="s">
        <v>178</v>
      </c>
      <c r="B12" s="280" t="s">
        <v>63</v>
      </c>
      <c r="C12" s="136">
        <f>VLOOKUP(A12,'Pop. Data'!$A$10:$M$60,13,FALSE)</f>
        <v>5758736</v>
      </c>
      <c r="D12" s="134">
        <v>7</v>
      </c>
      <c r="E12" s="151">
        <f>VLOOKUP(A12,'School Districts'!$A$4:$D$54,4,FALSE)</f>
        <v>180</v>
      </c>
      <c r="F12" s="151">
        <f>VLOOKUP((_xlfn.CONCAT(A12," - ",'State Data Rollup &amp; Size Tags'!F$2)),'Census of Govts Data'!$A$3:$D$470,4,FALSE)</f>
        <v>2628</v>
      </c>
      <c r="G12" s="151">
        <f>VLOOKUP((_xlfn.CONCAT(A12," - ",'State Data Rollup &amp; Size Tags'!G$2)),'Census of Govts Data'!$A$3:$D$470,4,FALSE)</f>
        <v>0</v>
      </c>
      <c r="H12" s="151">
        <f>VLOOKUP((_xlfn.CONCAT(A12," - ",'State Data Rollup &amp; Size Tags'!H$2)),'Census of Govts Data'!$A$3:$D$470,4,FALSE)</f>
        <v>271</v>
      </c>
      <c r="I12" s="151">
        <f>VLOOKUP((_xlfn.CONCAT(A12," - ",'State Data Rollup &amp; Size Tags'!I$2)),'Census of Govts Data'!$A$3:$D$470,4,FALSE)</f>
        <v>62</v>
      </c>
      <c r="J12" s="134">
        <v>1</v>
      </c>
      <c r="K12" s="253">
        <f>VLOOKUP(A12,'Phil. Data'!$A$6:$I$57,6,FALSE)</f>
        <v>834294096</v>
      </c>
      <c r="L12" s="253">
        <f>VLOOKUP(A12,'Phil. Data'!$A$6:$I$57,4,FALSE)</f>
        <v>11735955635</v>
      </c>
      <c r="M12" s="240">
        <f>VLOOKUP(A12,'Phil. Data'!$A$6:$I$57,8,FALSE)</f>
        <v>1349</v>
      </c>
    </row>
    <row r="13" spans="1:13" x14ac:dyDescent="0.25">
      <c r="A13" s="134" t="s">
        <v>179</v>
      </c>
      <c r="B13" s="280" t="s">
        <v>62</v>
      </c>
      <c r="C13" s="136">
        <f>VLOOKUP(A13,'Pop. Data'!$A$10:$M$60,13,FALSE)</f>
        <v>3565287</v>
      </c>
      <c r="D13" s="134">
        <v>5</v>
      </c>
      <c r="E13" s="151">
        <f>VLOOKUP(A13,'School Districts'!$A$4:$D$54,4,FALSE)</f>
        <v>166</v>
      </c>
      <c r="F13" s="151">
        <f>VLOOKUP((_xlfn.CONCAT(A13," - ",'State Data Rollup &amp; Size Tags'!F$2)),'Census of Govts Data'!$A$3:$D$470,4,FALSE)</f>
        <v>429</v>
      </c>
      <c r="G13" s="151">
        <f>VLOOKUP((_xlfn.CONCAT(A13," - ",'State Data Rollup &amp; Size Tags'!G$2)),'Census of Govts Data'!$A$3:$D$470,4,FALSE)</f>
        <v>149</v>
      </c>
      <c r="H13" s="151">
        <f>VLOOKUP((_xlfn.CONCAT(A13," - ",'State Data Rollup &amp; Size Tags'!H$2)),'Census of Govts Data'!$A$3:$D$470,4,FALSE)</f>
        <v>30</v>
      </c>
      <c r="I13" s="151">
        <f>VLOOKUP((_xlfn.CONCAT(A13," - ",'State Data Rollup &amp; Size Tags'!I$2)),'Census of Govts Data'!$A$3:$D$470,4,FALSE)</f>
        <v>0</v>
      </c>
      <c r="J13" s="134">
        <v>1</v>
      </c>
      <c r="K13" s="253">
        <f>VLOOKUP(A13,'Phil. Data'!$A$6:$I$57,6,FALSE)</f>
        <v>900843697</v>
      </c>
      <c r="L13" s="253">
        <f>VLOOKUP(A13,'Phil. Data'!$A$6:$I$57,4,FALSE)</f>
        <v>11707411925</v>
      </c>
      <c r="M13" s="240">
        <f>VLOOKUP(A13,'Phil. Data'!$A$6:$I$57,8,FALSE)</f>
        <v>1591</v>
      </c>
    </row>
    <row r="14" spans="1:13" x14ac:dyDescent="0.25">
      <c r="A14" s="134" t="s">
        <v>180</v>
      </c>
      <c r="B14" s="280" t="s">
        <v>61</v>
      </c>
      <c r="C14" s="136">
        <f>VLOOKUP(A14,'Pop. Data'!$A$10:$M$60,13,FALSE)</f>
        <v>973764</v>
      </c>
      <c r="D14" s="134">
        <v>1</v>
      </c>
      <c r="E14" s="151">
        <f>VLOOKUP(A14,'School Districts'!$A$4:$D$54,4,FALSE)</f>
        <v>19</v>
      </c>
      <c r="F14" s="151">
        <f>VLOOKUP((_xlfn.CONCAT(A14," - ",'State Data Rollup &amp; Size Tags'!F$2)),'Census of Govts Data'!$A$3:$D$470,4,FALSE)</f>
        <v>255</v>
      </c>
      <c r="G14" s="151">
        <f>VLOOKUP((_xlfn.CONCAT(A14," - ",'State Data Rollup &amp; Size Tags'!G$2)),'Census of Govts Data'!$A$3:$D$470,4,FALSE)</f>
        <v>0</v>
      </c>
      <c r="H14" s="151">
        <f>VLOOKUP((_xlfn.CONCAT(A14," - ",'State Data Rollup &amp; Size Tags'!H$2)),'Census of Govts Data'!$A$3:$D$470,4,FALSE)</f>
        <v>57</v>
      </c>
      <c r="I14" s="151">
        <f>VLOOKUP((_xlfn.CONCAT(A14," - ",'State Data Rollup &amp; Size Tags'!I$2)),'Census of Govts Data'!$A$3:$D$470,4,FALSE)</f>
        <v>3</v>
      </c>
      <c r="J14" s="134">
        <v>1</v>
      </c>
      <c r="K14" s="253">
        <f>VLOOKUP(A14,'Phil. Data'!$A$6:$I$57,6,FALSE)</f>
        <v>865625755</v>
      </c>
      <c r="L14" s="253">
        <f>VLOOKUP(A14,'Phil. Data'!$A$6:$I$57,4,FALSE)</f>
        <v>10445589387</v>
      </c>
      <c r="M14" s="240">
        <f>VLOOKUP(A14,'Phil. Data'!$A$6:$I$57,8,FALSE)</f>
        <v>1287</v>
      </c>
    </row>
    <row r="15" spans="1:13" x14ac:dyDescent="0.25">
      <c r="A15" s="134" t="s">
        <v>181</v>
      </c>
      <c r="B15" s="280" t="s">
        <v>61</v>
      </c>
      <c r="C15" s="136">
        <f>VLOOKUP(A15,'Pop. Data'!$A$10:$M$60,13,FALSE)</f>
        <v>705749</v>
      </c>
      <c r="D15" s="134"/>
      <c r="E15" s="151">
        <f>VLOOKUP(A15,'School Districts'!$A$4:$D$54,4,FALSE)</f>
        <v>2</v>
      </c>
      <c r="F15" s="151">
        <f>VLOOKUP((_xlfn.CONCAT(A15," - ",'State Data Rollup &amp; Size Tags'!F$2)),'Census of Govts Data'!$A$3:$D$470,4,FALSE)</f>
        <v>1</v>
      </c>
      <c r="G15" s="151">
        <f>VLOOKUP((_xlfn.CONCAT(A15," - ",'State Data Rollup &amp; Size Tags'!G$2)),'Census of Govts Data'!$A$3:$D$470,4,FALSE)</f>
        <v>0</v>
      </c>
      <c r="H15" s="151">
        <f>VLOOKUP((_xlfn.CONCAT(A15," - ",'State Data Rollup &amp; Size Tags'!H$2)),'Census of Govts Data'!$A$3:$D$470,4,FALSE)</f>
        <v>1</v>
      </c>
      <c r="I15" s="151">
        <f>VLOOKUP((_xlfn.CONCAT(A15," - ",'State Data Rollup &amp; Size Tags'!I$2)),'Census of Govts Data'!$A$3:$D$470,4,FALSE)</f>
        <v>0</v>
      </c>
      <c r="J15" s="134">
        <v>0</v>
      </c>
      <c r="K15" s="253">
        <f>VLOOKUP(A15,'Phil. Data'!$A$6:$I$57,6,FALSE)</f>
        <v>453614711</v>
      </c>
      <c r="L15" s="253">
        <f>VLOOKUP(A15,'Phil. Data'!$A$6:$I$57,4,FALSE)</f>
        <v>9714611213</v>
      </c>
      <c r="M15" s="240">
        <f>VLOOKUP(A15,'Phil. Data'!$A$6:$I$57,8,FALSE)</f>
        <v>387</v>
      </c>
    </row>
    <row r="16" spans="1:13" x14ac:dyDescent="0.25">
      <c r="A16" s="134" t="s">
        <v>182</v>
      </c>
      <c r="B16" s="280" t="s">
        <v>65</v>
      </c>
      <c r="C16" s="136">
        <f>VLOOKUP(A16,'Pop. Data'!$A$10:$M$60,13,FALSE)</f>
        <v>21477737</v>
      </c>
      <c r="D16" s="134">
        <v>27</v>
      </c>
      <c r="E16" s="151">
        <f>VLOOKUP(A16,'School Districts'!$A$4:$D$54,4,FALSE)</f>
        <v>95</v>
      </c>
      <c r="F16" s="151">
        <f>VLOOKUP((_xlfn.CONCAT(A16," - ",'State Data Rollup &amp; Size Tags'!F$2)),'Census of Govts Data'!$A$3:$D$470,4,FALSE)</f>
        <v>1139</v>
      </c>
      <c r="G16" s="151">
        <f>VLOOKUP((_xlfn.CONCAT(A16," - ",'State Data Rollup &amp; Size Tags'!G$2)),'Census of Govts Data'!$A$3:$D$470,4,FALSE)</f>
        <v>0</v>
      </c>
      <c r="H16" s="151">
        <f>VLOOKUP((_xlfn.CONCAT(A16," - ",'State Data Rollup &amp; Size Tags'!H$2)),'Census of Govts Data'!$A$3:$D$470,4,FALSE)</f>
        <v>412</v>
      </c>
      <c r="I16" s="151">
        <f>VLOOKUP((_xlfn.CONCAT(A16," - ",'State Data Rollup &amp; Size Tags'!I$2)),'Census of Govts Data'!$A$3:$D$470,4,FALSE)</f>
        <v>66</v>
      </c>
      <c r="J16" s="134">
        <v>1</v>
      </c>
      <c r="K16" s="253">
        <f>VLOOKUP(A16,'Phil. Data'!$A$6:$I$57,6,FALSE)</f>
        <v>1751976917</v>
      </c>
      <c r="L16" s="253">
        <f>VLOOKUP(A16,'Phil. Data'!$A$6:$I$57,4,FALSE)</f>
        <v>25581258784</v>
      </c>
      <c r="M16" s="240">
        <f>VLOOKUP(A16,'Phil. Data'!$A$6:$I$57,8,FALSE)</f>
        <v>5266</v>
      </c>
    </row>
    <row r="17" spans="1:13" x14ac:dyDescent="0.25">
      <c r="A17" s="134" t="s">
        <v>183</v>
      </c>
      <c r="B17" s="280" t="s">
        <v>64</v>
      </c>
      <c r="C17" s="136">
        <f>VLOOKUP(A17,'Pop. Data'!$A$10:$M$60,13,FALSE)</f>
        <v>10617423</v>
      </c>
      <c r="D17" s="134">
        <v>14</v>
      </c>
      <c r="E17" s="151">
        <f>VLOOKUP(A17,'School Districts'!$A$4:$D$54,4,FALSE)</f>
        <v>180</v>
      </c>
      <c r="F17" s="151">
        <f>VLOOKUP((_xlfn.CONCAT(A17," - ",'State Data Rollup &amp; Size Tags'!F$2)),'Census of Govts Data'!$A$3:$D$470,4,FALSE)</f>
        <v>511</v>
      </c>
      <c r="G17" s="151">
        <f>VLOOKUP((_xlfn.CONCAT(A17," - ",'State Data Rollup &amp; Size Tags'!G$2)),'Census of Govts Data'!$A$3:$D$470,4,FALSE)</f>
        <v>0</v>
      </c>
      <c r="H17" s="151">
        <f>VLOOKUP((_xlfn.CONCAT(A17," - ",'State Data Rollup &amp; Size Tags'!H$2)),'Census of Govts Data'!$A$3:$D$470,4,FALSE)</f>
        <v>537</v>
      </c>
      <c r="I17" s="151">
        <f>VLOOKUP((_xlfn.CONCAT(A17," - ",'State Data Rollup &amp; Size Tags'!I$2)),'Census of Govts Data'!$A$3:$D$470,4,FALSE)</f>
        <v>152</v>
      </c>
      <c r="J17" s="134">
        <v>1</v>
      </c>
      <c r="K17" s="253">
        <f>VLOOKUP(A17,'Phil. Data'!$A$6:$I$57,6,FALSE)</f>
        <v>1191092441</v>
      </c>
      <c r="L17" s="253">
        <f>VLOOKUP(A17,'Phil. Data'!$A$6:$I$57,4,FALSE)</f>
        <v>16827500173</v>
      </c>
      <c r="M17" s="240">
        <f>VLOOKUP(A17,'Phil. Data'!$A$6:$I$57,8,FALSE)</f>
        <v>1488</v>
      </c>
    </row>
    <row r="18" spans="1:13" x14ac:dyDescent="0.25">
      <c r="A18" s="134" t="s">
        <v>184</v>
      </c>
      <c r="B18" s="280" t="s">
        <v>62</v>
      </c>
      <c r="C18" s="136">
        <f>VLOOKUP(A18,'Pop. Data'!$A$10:$M$60,13,FALSE)</f>
        <v>1415872</v>
      </c>
      <c r="D18" s="134">
        <v>2</v>
      </c>
      <c r="E18" s="151">
        <f>VLOOKUP(A18,'School Districts'!$A$4:$D$54,4,FALSE)</f>
        <v>1</v>
      </c>
      <c r="F18" s="151">
        <f>VLOOKUP((_xlfn.CONCAT(A18," - ",'State Data Rollup &amp; Size Tags'!F$2)),'Census of Govts Data'!$A$3:$D$470,4,FALSE)</f>
        <v>17</v>
      </c>
      <c r="G18" s="151">
        <f>VLOOKUP((_xlfn.CONCAT(A18," - ",'State Data Rollup &amp; Size Tags'!G$2)),'Census of Govts Data'!$A$3:$D$470,4,FALSE)</f>
        <v>0</v>
      </c>
      <c r="H18" s="151">
        <f>VLOOKUP((_xlfn.CONCAT(A18," - ",'State Data Rollup &amp; Size Tags'!H$2)),'Census of Govts Data'!$A$3:$D$470,4,FALSE)</f>
        <v>1</v>
      </c>
      <c r="I18" s="151">
        <f>VLOOKUP((_xlfn.CONCAT(A18," - ",'State Data Rollup &amp; Size Tags'!I$2)),'Census of Govts Data'!$A$3:$D$470,4,FALSE)</f>
        <v>3</v>
      </c>
      <c r="J18" s="134">
        <v>1</v>
      </c>
      <c r="K18" s="253">
        <f>VLOOKUP(A18,'Phil. Data'!$A$6:$I$57,6,FALSE)</f>
        <v>109213958</v>
      </c>
      <c r="L18" s="253">
        <f>VLOOKUP(A18,'Phil. Data'!$A$6:$I$57,4,FALSE)</f>
        <v>2061077501</v>
      </c>
      <c r="M18" s="240">
        <f>VLOOKUP(A18,'Phil. Data'!$A$6:$I$57,8,FALSE)</f>
        <v>357</v>
      </c>
    </row>
    <row r="19" spans="1:13" x14ac:dyDescent="0.25">
      <c r="A19" s="134" t="s">
        <v>185</v>
      </c>
      <c r="B19" s="280" t="s">
        <v>62</v>
      </c>
      <c r="C19" s="136">
        <f>VLOOKUP(A19,'Pop. Data'!$A$10:$M$60,13,FALSE)</f>
        <v>1787065</v>
      </c>
      <c r="D19" s="134">
        <v>2</v>
      </c>
      <c r="E19" s="151">
        <f>VLOOKUP(A19,'School Districts'!$A$4:$D$54,4,FALSE)</f>
        <v>118</v>
      </c>
      <c r="F19" s="151">
        <f>VLOOKUP((_xlfn.CONCAT(A19," - ",'State Data Rollup &amp; Size Tags'!F$2)),'Census of Govts Data'!$A$3:$D$470,4,FALSE)</f>
        <v>808</v>
      </c>
      <c r="G19" s="151">
        <f>VLOOKUP((_xlfn.CONCAT(A19," - ",'State Data Rollup &amp; Size Tags'!G$2)),'Census of Govts Data'!$A$3:$D$470,4,FALSE)</f>
        <v>0</v>
      </c>
      <c r="H19" s="151">
        <f>VLOOKUP((_xlfn.CONCAT(A19," - ",'State Data Rollup &amp; Size Tags'!H$2)),'Census of Govts Data'!$A$3:$D$470,4,FALSE)</f>
        <v>200</v>
      </c>
      <c r="I19" s="151">
        <f>VLOOKUP((_xlfn.CONCAT(A19," - ",'State Data Rollup &amp; Size Tags'!I$2)),'Census of Govts Data'!$A$3:$D$470,4,FALSE)</f>
        <v>44</v>
      </c>
      <c r="J19" s="134">
        <v>1</v>
      </c>
      <c r="K19" s="253">
        <f>VLOOKUP(A19,'Phil. Data'!$A$6:$I$57,6,FALSE)</f>
        <v>86593975</v>
      </c>
      <c r="L19" s="253">
        <f>VLOOKUP(A19,'Phil. Data'!$A$6:$I$57,4,FALSE)</f>
        <v>1818467421</v>
      </c>
      <c r="M19" s="240">
        <f>VLOOKUP(A19,'Phil. Data'!$A$6:$I$57,8,FALSE)</f>
        <v>241</v>
      </c>
    </row>
    <row r="20" spans="1:13" x14ac:dyDescent="0.25">
      <c r="A20" s="134" t="s">
        <v>186</v>
      </c>
      <c r="B20" s="280" t="s">
        <v>64</v>
      </c>
      <c r="C20" s="136">
        <f>VLOOKUP(A20,'Pop. Data'!$A$10:$M$60,13,FALSE)</f>
        <v>12671821</v>
      </c>
      <c r="D20" s="134">
        <v>18</v>
      </c>
      <c r="E20" s="151">
        <f>VLOOKUP(A20,'School Districts'!$A$4:$D$54,4,FALSE)</f>
        <v>886</v>
      </c>
      <c r="F20" s="151">
        <f>VLOOKUP((_xlfn.CONCAT(A20," - ",'State Data Rollup &amp; Size Tags'!F$2)),'Census of Govts Data'!$A$3:$D$470,4,FALSE)</f>
        <v>3204</v>
      </c>
      <c r="G20" s="151">
        <f>VLOOKUP((_xlfn.CONCAT(A20," - ",'State Data Rollup &amp; Size Tags'!G$2)),'Census of Govts Data'!$A$3:$D$470,4,FALSE)</f>
        <v>1429</v>
      </c>
      <c r="H20" s="151">
        <f>VLOOKUP((_xlfn.CONCAT(A20," - ",'State Data Rollup &amp; Size Tags'!H$2)),'Census of Govts Data'!$A$3:$D$470,4,FALSE)</f>
        <v>1297</v>
      </c>
      <c r="I20" s="151">
        <f>VLOOKUP((_xlfn.CONCAT(A20," - ",'State Data Rollup &amp; Size Tags'!I$2)),'Census of Govts Data'!$A$3:$D$470,4,FALSE)</f>
        <v>102</v>
      </c>
      <c r="J20" s="134">
        <v>1</v>
      </c>
      <c r="K20" s="253">
        <f>VLOOKUP(A20,'Phil. Data'!$A$6:$I$57,6,FALSE)</f>
        <v>3610445653</v>
      </c>
      <c r="L20" s="253">
        <f>VLOOKUP(A20,'Phil. Data'!$A$6:$I$57,4,FALSE)</f>
        <v>39032827259</v>
      </c>
      <c r="M20" s="240">
        <f>VLOOKUP(A20,'Phil. Data'!$A$6:$I$57,8,FALSE)</f>
        <v>5317</v>
      </c>
    </row>
    <row r="21" spans="1:13" x14ac:dyDescent="0.25">
      <c r="A21" s="134" t="s">
        <v>187</v>
      </c>
      <c r="B21" s="280" t="s">
        <v>63</v>
      </c>
      <c r="C21" s="136">
        <f>VLOOKUP(A21,'Pop. Data'!$A$10:$M$60,13,FALSE)</f>
        <v>6732219</v>
      </c>
      <c r="D21" s="134">
        <v>9</v>
      </c>
      <c r="E21" s="151">
        <f>VLOOKUP(A21,'School Districts'!$A$4:$D$54,4,FALSE)</f>
        <v>289</v>
      </c>
      <c r="F21" s="151">
        <f>VLOOKUP((_xlfn.CONCAT(A21," - ",'State Data Rollup &amp; Size Tags'!F$2)),'Census of Govts Data'!$A$3:$D$470,4,FALSE)</f>
        <v>687</v>
      </c>
      <c r="G21" s="151">
        <f>VLOOKUP((_xlfn.CONCAT(A21," - ",'State Data Rollup &amp; Size Tags'!G$2)),'Census of Govts Data'!$A$3:$D$470,4,FALSE)</f>
        <v>1004</v>
      </c>
      <c r="H21" s="151">
        <f>VLOOKUP((_xlfn.CONCAT(A21," - ",'State Data Rollup &amp; Size Tags'!H$2)),'Census of Govts Data'!$A$3:$D$470,4,FALSE)</f>
        <v>567</v>
      </c>
      <c r="I21" s="151">
        <f>VLOOKUP((_xlfn.CONCAT(A21," - ",'State Data Rollup &amp; Size Tags'!I$2)),'Census of Govts Data'!$A$3:$D$470,4,FALSE)</f>
        <v>91</v>
      </c>
      <c r="J21" s="134">
        <v>1</v>
      </c>
      <c r="K21" s="253">
        <f>VLOOKUP(A21,'Phil. Data'!$A$6:$I$57,6,FALSE)</f>
        <v>1483101186</v>
      </c>
      <c r="L21" s="253">
        <f>VLOOKUP(A21,'Phil. Data'!$A$6:$I$57,4,FALSE)</f>
        <v>22462185900</v>
      </c>
      <c r="M21" s="240">
        <f>VLOOKUP(A21,'Phil. Data'!$A$6:$I$57,8,FALSE)</f>
        <v>1194</v>
      </c>
    </row>
    <row r="22" spans="1:13" x14ac:dyDescent="0.25">
      <c r="A22" s="134" t="s">
        <v>188</v>
      </c>
      <c r="B22" s="280" t="s">
        <v>62</v>
      </c>
      <c r="C22" s="136">
        <f>VLOOKUP(A22,'Pop. Data'!$A$10:$M$60,13,FALSE)</f>
        <v>3155070</v>
      </c>
      <c r="D22" s="134">
        <v>4</v>
      </c>
      <c r="E22" s="151">
        <f>VLOOKUP(A22,'School Districts'!$A$4:$D$54,4,FALSE)</f>
        <v>348</v>
      </c>
      <c r="F22" s="151">
        <f>VLOOKUP((_xlfn.CONCAT(A22," - ",'State Data Rollup &amp; Size Tags'!F$2)),'Census of Govts Data'!$A$3:$D$470,4,FALSE)</f>
        <v>551</v>
      </c>
      <c r="G22" s="151">
        <f>VLOOKUP((_xlfn.CONCAT(A22," - ",'State Data Rollup &amp; Size Tags'!G$2)),'Census of Govts Data'!$A$3:$D$470,4,FALSE)</f>
        <v>0</v>
      </c>
      <c r="H22" s="151">
        <f>VLOOKUP((_xlfn.CONCAT(A22," - ",'State Data Rollup &amp; Size Tags'!H$2)),'Census of Govts Data'!$A$3:$D$470,4,FALSE)</f>
        <v>943</v>
      </c>
      <c r="I22" s="151">
        <f>VLOOKUP((_xlfn.CONCAT(A22," - ",'State Data Rollup &amp; Size Tags'!I$2)),'Census of Govts Data'!$A$3:$D$470,4,FALSE)</f>
        <v>99</v>
      </c>
      <c r="J22" s="134">
        <v>1</v>
      </c>
      <c r="K22" s="253">
        <f>VLOOKUP(A22,'Phil. Data'!$A$6:$I$57,6,FALSE)</f>
        <v>230666534</v>
      </c>
      <c r="L22" s="253">
        <f>VLOOKUP(A22,'Phil. Data'!$A$6:$I$57,4,FALSE)</f>
        <v>3855550561</v>
      </c>
      <c r="M22" s="240">
        <f>VLOOKUP(A22,'Phil. Data'!$A$6:$I$57,8,FALSE)</f>
        <v>866</v>
      </c>
    </row>
    <row r="23" spans="1:13" x14ac:dyDescent="0.25">
      <c r="A23" s="134" t="s">
        <v>189</v>
      </c>
      <c r="B23" s="280" t="s">
        <v>62</v>
      </c>
      <c r="C23" s="136">
        <f>VLOOKUP(A23,'Pop. Data'!$A$10:$M$60,13,FALSE)</f>
        <v>2913314</v>
      </c>
      <c r="D23" s="134">
        <v>4</v>
      </c>
      <c r="E23" s="151">
        <f>VLOOKUP(A23,'School Districts'!$A$4:$D$54,4,FALSE)</f>
        <v>306</v>
      </c>
      <c r="F23" s="151">
        <f>VLOOKUP((_xlfn.CONCAT(A23," - ",'State Data Rollup &amp; Size Tags'!F$2)),'Census of Govts Data'!$A$3:$D$470,4,FALSE)</f>
        <v>1493</v>
      </c>
      <c r="G23" s="151">
        <f>VLOOKUP((_xlfn.CONCAT(A23," - ",'State Data Rollup &amp; Size Tags'!G$2)),'Census of Govts Data'!$A$3:$D$470,4,FALSE)</f>
        <v>1265</v>
      </c>
      <c r="H23" s="151">
        <f>VLOOKUP((_xlfn.CONCAT(A23," - ",'State Data Rollup &amp; Size Tags'!H$2)),'Census of Govts Data'!$A$3:$D$470,4,FALSE)</f>
        <v>625</v>
      </c>
      <c r="I23" s="151">
        <f>VLOOKUP((_xlfn.CONCAT(A23," - ",'State Data Rollup &amp; Size Tags'!I$2)),'Census of Govts Data'!$A$3:$D$470,4,FALSE)</f>
        <v>103</v>
      </c>
      <c r="J23" s="134">
        <v>1</v>
      </c>
      <c r="K23" s="253">
        <f>VLOOKUP(A23,'Phil. Data'!$A$6:$I$57,6,FALSE)</f>
        <v>215721644</v>
      </c>
      <c r="L23" s="253">
        <f>VLOOKUP(A23,'Phil. Data'!$A$6:$I$57,4,FALSE)</f>
        <v>3697154734</v>
      </c>
      <c r="M23" s="240">
        <f>VLOOKUP(A23,'Phil. Data'!$A$6:$I$57,8,FALSE)</f>
        <v>775</v>
      </c>
    </row>
    <row r="24" spans="1:13" x14ac:dyDescent="0.25">
      <c r="A24" s="134" t="s">
        <v>190</v>
      </c>
      <c r="B24" s="280" t="s">
        <v>62</v>
      </c>
      <c r="C24" s="136">
        <f>VLOOKUP(A24,'Pop. Data'!$A$10:$M$60,13,FALSE)</f>
        <v>4467673</v>
      </c>
      <c r="D24" s="134">
        <v>6</v>
      </c>
      <c r="E24" s="151">
        <f>VLOOKUP(A24,'School Districts'!$A$4:$D$54,4,FALSE)</f>
        <v>173</v>
      </c>
      <c r="F24" s="151">
        <f>VLOOKUP((_xlfn.CONCAT(A24," - ",'State Data Rollup &amp; Size Tags'!F$2)),'Census of Govts Data'!$A$3:$D$470,4,FALSE)</f>
        <v>614</v>
      </c>
      <c r="G24" s="151">
        <f>VLOOKUP((_xlfn.CONCAT(A24," - ",'State Data Rollup &amp; Size Tags'!G$2)),'Census of Govts Data'!$A$3:$D$470,4,FALSE)</f>
        <v>0</v>
      </c>
      <c r="H24" s="151">
        <f>VLOOKUP((_xlfn.CONCAT(A24," - ",'State Data Rollup &amp; Size Tags'!H$2)),'Census of Govts Data'!$A$3:$D$470,4,FALSE)</f>
        <v>417</v>
      </c>
      <c r="I24" s="151">
        <f>VLOOKUP((_xlfn.CONCAT(A24," - ",'State Data Rollup &amp; Size Tags'!I$2)),'Census of Govts Data'!$A$3:$D$470,4,FALSE)</f>
        <v>118</v>
      </c>
      <c r="J24" s="134">
        <v>1</v>
      </c>
      <c r="K24" s="253">
        <f>VLOOKUP(A24,'Phil. Data'!$A$6:$I$57,6,FALSE)</f>
        <v>185116421</v>
      </c>
      <c r="L24" s="253">
        <f>VLOOKUP(A24,'Phil. Data'!$A$6:$I$57,4,FALSE)</f>
        <v>3237361928</v>
      </c>
      <c r="M24" s="240">
        <f>VLOOKUP(A24,'Phil. Data'!$A$6:$I$57,8,FALSE)</f>
        <v>543</v>
      </c>
    </row>
    <row r="25" spans="1:13" x14ac:dyDescent="0.25">
      <c r="A25" s="134" t="s">
        <v>191</v>
      </c>
      <c r="B25" s="280" t="s">
        <v>62</v>
      </c>
      <c r="C25" s="136">
        <f>VLOOKUP(A25,'Pop. Data'!$A$10:$M$60,13,FALSE)</f>
        <v>4648794</v>
      </c>
      <c r="D25" s="134">
        <v>6</v>
      </c>
      <c r="E25" s="151">
        <f>VLOOKUP(A25,'School Districts'!$A$4:$D$54,4,FALSE)</f>
        <v>70</v>
      </c>
      <c r="F25" s="151">
        <f>VLOOKUP((_xlfn.CONCAT(A25," - ",'State Data Rollup &amp; Size Tags'!F$2)),'Census of Govts Data'!$A$3:$D$470,4,FALSE)</f>
        <v>83</v>
      </c>
      <c r="G25" s="151">
        <f>VLOOKUP((_xlfn.CONCAT(A25," - ",'State Data Rollup &amp; Size Tags'!G$2)),'Census of Govts Data'!$A$3:$D$470,4,FALSE)</f>
        <v>0</v>
      </c>
      <c r="H25" s="151">
        <f>VLOOKUP((_xlfn.CONCAT(A25," - ",'State Data Rollup &amp; Size Tags'!H$2)),'Census of Govts Data'!$A$3:$D$470,4,FALSE)</f>
        <v>304</v>
      </c>
      <c r="I25" s="151">
        <f>VLOOKUP((_xlfn.CONCAT(A25," - ",'State Data Rollup &amp; Size Tags'!I$2)),'Census of Govts Data'!$A$3:$D$470,4,FALSE)</f>
        <v>60</v>
      </c>
      <c r="J25" s="134">
        <v>1</v>
      </c>
      <c r="K25" s="253">
        <f>VLOOKUP(A25,'Phil. Data'!$A$6:$I$57,6,FALSE)</f>
        <v>237237316</v>
      </c>
      <c r="L25" s="253">
        <f>VLOOKUP(A25,'Phil. Data'!$A$6:$I$57,4,FALSE)</f>
        <v>3911529843</v>
      </c>
      <c r="M25" s="240">
        <f>VLOOKUP(A25,'Phil. Data'!$A$6:$I$57,8,FALSE)</f>
        <v>516</v>
      </c>
    </row>
    <row r="26" spans="1:13" x14ac:dyDescent="0.25">
      <c r="A26" s="134" t="s">
        <v>192</v>
      </c>
      <c r="B26" s="280" t="s">
        <v>62</v>
      </c>
      <c r="C26" s="136">
        <f>VLOOKUP(A26,'Pop. Data'!$A$10:$M$60,13,FALSE)</f>
        <v>1344212</v>
      </c>
      <c r="D26" s="134">
        <v>2</v>
      </c>
      <c r="E26" s="151">
        <f>VLOOKUP(A26,'School Districts'!$A$4:$D$54,4,FALSE)</f>
        <v>258</v>
      </c>
      <c r="F26" s="151">
        <f>VLOOKUP((_xlfn.CONCAT(A26," - ",'State Data Rollup &amp; Size Tags'!F$2)),'Census of Govts Data'!$A$3:$D$470,4,FALSE)</f>
        <v>232</v>
      </c>
      <c r="G26" s="151">
        <f>VLOOKUP((_xlfn.CONCAT(A26," - ",'State Data Rollup &amp; Size Tags'!G$2)),'Census of Govts Data'!$A$3:$D$470,4,FALSE)</f>
        <v>465</v>
      </c>
      <c r="H26" s="151">
        <f>VLOOKUP((_xlfn.CONCAT(A26," - ",'State Data Rollup &amp; Size Tags'!H$2)),'Census of Govts Data'!$A$3:$D$470,4,FALSE)</f>
        <v>23</v>
      </c>
      <c r="I26" s="151">
        <f>VLOOKUP((_xlfn.CONCAT(A26," - ",'State Data Rollup &amp; Size Tags'!I$2)),'Census of Govts Data'!$A$3:$D$470,4,FALSE)</f>
        <v>16</v>
      </c>
      <c r="J26" s="134">
        <v>1</v>
      </c>
      <c r="K26" s="253">
        <f>VLOOKUP(A26,'Phil. Data'!$A$6:$I$57,6,FALSE)</f>
        <v>159795511</v>
      </c>
      <c r="L26" s="253">
        <f>VLOOKUP(A26,'Phil. Data'!$A$6:$I$57,4,FALSE)</f>
        <v>2900606191</v>
      </c>
      <c r="M26" s="240">
        <f>VLOOKUP(A26,'Phil. Data'!$A$6:$I$57,8,FALSE)</f>
        <v>363</v>
      </c>
    </row>
    <row r="27" spans="1:13" x14ac:dyDescent="0.25">
      <c r="A27" s="134" t="s">
        <v>193</v>
      </c>
      <c r="B27" s="280" t="s">
        <v>63</v>
      </c>
      <c r="C27" s="136">
        <f>VLOOKUP(A27,'Pop. Data'!$A$10:$M$60,13,FALSE)</f>
        <v>6045680</v>
      </c>
      <c r="D27" s="134">
        <v>8</v>
      </c>
      <c r="E27" s="151">
        <f>VLOOKUP(A27,'School Districts'!$A$4:$D$54,4,FALSE)</f>
        <v>39</v>
      </c>
      <c r="F27" s="151">
        <f>VLOOKUP((_xlfn.CONCAT(A27," - ",'State Data Rollup &amp; Size Tags'!F$2)),'Census of Govts Data'!$A$3:$D$470,4,FALSE)</f>
        <v>164</v>
      </c>
      <c r="G27" s="151">
        <f>VLOOKUP((_xlfn.CONCAT(A27," - ",'State Data Rollup &amp; Size Tags'!G$2)),'Census of Govts Data'!$A$3:$D$470,4,FALSE)</f>
        <v>0</v>
      </c>
      <c r="H27" s="151">
        <f>VLOOKUP((_xlfn.CONCAT(A27," - ",'State Data Rollup &amp; Size Tags'!H$2)),'Census of Govts Data'!$A$3:$D$470,4,FALSE)</f>
        <v>157</v>
      </c>
      <c r="I27" s="151">
        <f>VLOOKUP((_xlfn.CONCAT(A27," - ",'State Data Rollup &amp; Size Tags'!I$2)),'Census of Govts Data'!$A$3:$D$470,4,FALSE)</f>
        <v>23</v>
      </c>
      <c r="J27" s="134">
        <v>1</v>
      </c>
      <c r="K27" s="253">
        <f>VLOOKUP(A27,'Phil. Data'!$A$6:$I$57,6,FALSE)</f>
        <v>887897207</v>
      </c>
      <c r="L27" s="253">
        <f>VLOOKUP(A27,'Phil. Data'!$A$6:$I$57,4,FALSE)</f>
        <v>17288455807</v>
      </c>
      <c r="M27" s="240">
        <f>VLOOKUP(A27,'Phil. Data'!$A$6:$I$57,8,FALSE)</f>
        <v>1433</v>
      </c>
    </row>
    <row r="28" spans="1:13" x14ac:dyDescent="0.25">
      <c r="A28" s="134" t="s">
        <v>194</v>
      </c>
      <c r="B28" s="280" t="s">
        <v>63</v>
      </c>
      <c r="C28" s="136">
        <f>VLOOKUP(A28,'Pop. Data'!$A$10:$M$60,13,FALSE)</f>
        <v>6892503</v>
      </c>
      <c r="D28" s="134">
        <v>9</v>
      </c>
      <c r="E28" s="151">
        <f>VLOOKUP(A28,'School Districts'!$A$4:$D$54,4,FALSE)</f>
        <v>321</v>
      </c>
      <c r="F28" s="151">
        <f>VLOOKUP((_xlfn.CONCAT(A28," - ",'State Data Rollup &amp; Size Tags'!F$2)),'Census of Govts Data'!$A$3:$D$470,4,FALSE)</f>
        <v>417</v>
      </c>
      <c r="G28" s="151">
        <f>VLOOKUP((_xlfn.CONCAT(A28," - ",'State Data Rollup &amp; Size Tags'!G$2)),'Census of Govts Data'!$A$3:$D$470,4,FALSE)</f>
        <v>298</v>
      </c>
      <c r="H28" s="151">
        <f>VLOOKUP((_xlfn.CONCAT(A28," - ",'State Data Rollup &amp; Size Tags'!H$2)),'Census of Govts Data'!$A$3:$D$470,4,FALSE)</f>
        <v>53</v>
      </c>
      <c r="I28" s="151">
        <f>VLOOKUP((_xlfn.CONCAT(A28," - ",'State Data Rollup &amp; Size Tags'!I$2)),'Census of Govts Data'!$A$3:$D$470,4,FALSE)</f>
        <v>5</v>
      </c>
      <c r="J28" s="134">
        <v>1</v>
      </c>
      <c r="K28" s="253">
        <f>VLOOKUP(A28,'Phil. Data'!$A$6:$I$57,6,FALSE)</f>
        <v>1674862137</v>
      </c>
      <c r="L28" s="253">
        <f>VLOOKUP(A28,'Phil. Data'!$A$6:$I$57,4,FALSE)</f>
        <v>23725981843</v>
      </c>
      <c r="M28" s="240">
        <f>VLOOKUP(A28,'Phil. Data'!$A$6:$I$57,8,FALSE)</f>
        <v>3008</v>
      </c>
    </row>
    <row r="29" spans="1:13" x14ac:dyDescent="0.25">
      <c r="A29" s="134" t="s">
        <v>195</v>
      </c>
      <c r="B29" s="280" t="s">
        <v>63</v>
      </c>
      <c r="C29" s="136">
        <f>VLOOKUP(A29,'Pop. Data'!$A$10:$M$60,13,FALSE)</f>
        <v>9986857</v>
      </c>
      <c r="D29" s="134">
        <v>14</v>
      </c>
      <c r="E29" s="151">
        <f>VLOOKUP(A29,'School Districts'!$A$4:$D$54,4,FALSE)</f>
        <v>571</v>
      </c>
      <c r="F29" s="151">
        <f>VLOOKUP((_xlfn.CONCAT(A29," - ",'State Data Rollup &amp; Size Tags'!F$2)),'Census of Govts Data'!$A$3:$D$470,4,FALSE)</f>
        <v>436</v>
      </c>
      <c r="G29" s="151">
        <f>VLOOKUP((_xlfn.CONCAT(A29," - ",'State Data Rollup &amp; Size Tags'!G$2)),'Census of Govts Data'!$A$3:$D$470,4,FALSE)</f>
        <v>1240</v>
      </c>
      <c r="H29" s="151">
        <f>VLOOKUP((_xlfn.CONCAT(A29," - ",'State Data Rollup &amp; Size Tags'!H$2)),'Census of Govts Data'!$A$3:$D$470,4,FALSE)</f>
        <v>533</v>
      </c>
      <c r="I29" s="151">
        <f>VLOOKUP((_xlfn.CONCAT(A29," - ",'State Data Rollup &amp; Size Tags'!I$2)),'Census of Govts Data'!$A$3:$D$470,4,FALSE)</f>
        <v>83</v>
      </c>
      <c r="J29" s="134">
        <v>1</v>
      </c>
      <c r="K29" s="253">
        <f>VLOOKUP(A29,'Phil. Data'!$A$6:$I$57,6,FALSE)</f>
        <v>1663756427</v>
      </c>
      <c r="L29" s="253">
        <f>VLOOKUP(A29,'Phil. Data'!$A$6:$I$57,4,FALSE)</f>
        <v>31187432087</v>
      </c>
      <c r="M29" s="240">
        <f>VLOOKUP(A29,'Phil. Data'!$A$6:$I$57,8,FALSE)</f>
        <v>2181</v>
      </c>
    </row>
    <row r="30" spans="1:13" x14ac:dyDescent="0.25">
      <c r="A30" s="134" t="s">
        <v>196</v>
      </c>
      <c r="B30" s="280" t="s">
        <v>63</v>
      </c>
      <c r="C30" s="136">
        <f>VLOOKUP(A30,'Pop. Data'!$A$10:$M$60,13,FALSE)</f>
        <v>5639632</v>
      </c>
      <c r="D30" s="134">
        <v>8</v>
      </c>
      <c r="E30" s="151">
        <f>VLOOKUP(A30,'School Districts'!$A$4:$D$54,4,FALSE)</f>
        <v>333</v>
      </c>
      <c r="F30" s="151">
        <f>VLOOKUP((_xlfn.CONCAT(A30," - ",'State Data Rollup &amp; Size Tags'!F$2)),'Census of Govts Data'!$A$3:$D$470,4,FALSE)</f>
        <v>590</v>
      </c>
      <c r="G30" s="151">
        <f>VLOOKUP((_xlfn.CONCAT(A30," - ",'State Data Rollup &amp; Size Tags'!G$2)),'Census of Govts Data'!$A$3:$D$470,4,FALSE)</f>
        <v>1780</v>
      </c>
      <c r="H30" s="151">
        <f>VLOOKUP((_xlfn.CONCAT(A30," - ",'State Data Rollup &amp; Size Tags'!H$2)),'Census of Govts Data'!$A$3:$D$470,4,FALSE)</f>
        <v>853</v>
      </c>
      <c r="I30" s="151">
        <f>VLOOKUP((_xlfn.CONCAT(A30," - ",'State Data Rollup &amp; Size Tags'!I$2)),'Census of Govts Data'!$A$3:$D$470,4,FALSE)</f>
        <v>87</v>
      </c>
      <c r="J30" s="134">
        <v>1</v>
      </c>
      <c r="K30" s="253">
        <f>VLOOKUP(A30,'Phil. Data'!$A$6:$I$57,6,FALSE)</f>
        <v>1343337650</v>
      </c>
      <c r="L30" s="253">
        <f>VLOOKUP(A30,'Phil. Data'!$A$6:$I$57,4,FALSE)</f>
        <v>18611796298</v>
      </c>
      <c r="M30" s="240">
        <f>VLOOKUP(A30,'Phil. Data'!$A$6:$I$57,8,FALSE)</f>
        <v>1481</v>
      </c>
    </row>
    <row r="31" spans="1:13" x14ac:dyDescent="0.25">
      <c r="A31" s="134" t="s">
        <v>197</v>
      </c>
      <c r="B31" s="280" t="s">
        <v>62</v>
      </c>
      <c r="C31" s="136">
        <f>VLOOKUP(A31,'Pop. Data'!$A$10:$M$60,13,FALSE)</f>
        <v>2976149</v>
      </c>
      <c r="D31" s="134">
        <v>4</v>
      </c>
      <c r="E31" s="151">
        <f>VLOOKUP(A31,'School Districts'!$A$4:$D$54,4,FALSE)</f>
        <v>160</v>
      </c>
      <c r="F31" s="151">
        <f>VLOOKUP((_xlfn.CONCAT(A31," - ",'State Data Rollup &amp; Size Tags'!F$2)),'Census of Govts Data'!$A$3:$D$470,4,FALSE)</f>
        <v>432</v>
      </c>
      <c r="G31" s="151">
        <f>VLOOKUP((_xlfn.CONCAT(A31," - ",'State Data Rollup &amp; Size Tags'!G$2)),'Census of Govts Data'!$A$3:$D$470,4,FALSE)</f>
        <v>0</v>
      </c>
      <c r="H31" s="151">
        <f>VLOOKUP((_xlfn.CONCAT(A31," - ",'State Data Rollup &amp; Size Tags'!H$2)),'Census of Govts Data'!$A$3:$D$470,4,FALSE)</f>
        <v>298</v>
      </c>
      <c r="I31" s="151">
        <f>VLOOKUP((_xlfn.CONCAT(A31," - ",'State Data Rollup &amp; Size Tags'!I$2)),'Census of Govts Data'!$A$3:$D$470,4,FALSE)</f>
        <v>82</v>
      </c>
      <c r="J31" s="134">
        <v>1</v>
      </c>
      <c r="K31" s="253">
        <f>VLOOKUP(A31,'Phil. Data'!$A$6:$I$57,6,FALSE)</f>
        <v>96286772</v>
      </c>
      <c r="L31" s="253">
        <f>VLOOKUP(A31,'Phil. Data'!$A$6:$I$57,4,FALSE)</f>
        <v>1443082457</v>
      </c>
      <c r="M31" s="240">
        <f>VLOOKUP(A31,'Phil. Data'!$A$6:$I$57,8,FALSE)</f>
        <v>243</v>
      </c>
    </row>
    <row r="32" spans="1:13" x14ac:dyDescent="0.25">
      <c r="A32" s="134" t="s">
        <v>198</v>
      </c>
      <c r="B32" s="280" t="s">
        <v>63</v>
      </c>
      <c r="C32" s="136">
        <f>VLOOKUP(A32,'Pop. Data'!$A$10:$M$60,13,FALSE)</f>
        <v>6137428</v>
      </c>
      <c r="D32" s="134">
        <v>8</v>
      </c>
      <c r="E32" s="151">
        <f>VLOOKUP(A32,'School Districts'!$A$4:$D$54,4,FALSE)</f>
        <v>530</v>
      </c>
      <c r="F32" s="151">
        <f>VLOOKUP((_xlfn.CONCAT(A32," - ",'State Data Rollup &amp; Size Tags'!F$2)),'Census of Govts Data'!$A$3:$D$470,4,FALSE)</f>
        <v>1897</v>
      </c>
      <c r="G32" s="151">
        <f>VLOOKUP((_xlfn.CONCAT(A32," - ",'State Data Rollup &amp; Size Tags'!G$2)),'Census of Govts Data'!$A$3:$D$470,4,FALSE)</f>
        <v>283</v>
      </c>
      <c r="H32" s="151">
        <f>VLOOKUP((_xlfn.CONCAT(A32," - ",'State Data Rollup &amp; Size Tags'!H$2)),'Census of Govts Data'!$A$3:$D$470,4,FALSE)</f>
        <v>944</v>
      </c>
      <c r="I32" s="151">
        <f>VLOOKUP((_xlfn.CONCAT(A32," - ",'State Data Rollup &amp; Size Tags'!I$2)),'Census of Govts Data'!$A$3:$D$470,4,FALSE)</f>
        <v>114</v>
      </c>
      <c r="J32" s="134">
        <v>1</v>
      </c>
      <c r="K32" s="253">
        <f>VLOOKUP(A32,'Phil. Data'!$A$6:$I$57,6,FALSE)</f>
        <v>1110991342</v>
      </c>
      <c r="L32" s="253">
        <f>VLOOKUP(A32,'Phil. Data'!$A$6:$I$57,4,FALSE)</f>
        <v>13762831548</v>
      </c>
      <c r="M32" s="240">
        <f>VLOOKUP(A32,'Phil. Data'!$A$6:$I$57,8,FALSE)</f>
        <v>1426</v>
      </c>
    </row>
    <row r="33" spans="1:13" x14ac:dyDescent="0.25">
      <c r="A33" s="134" t="s">
        <v>199</v>
      </c>
      <c r="B33" s="280" t="s">
        <v>62</v>
      </c>
      <c r="C33" s="136">
        <f>VLOOKUP(A33,'Pop. Data'!$A$10:$M$60,13,FALSE)</f>
        <v>1068778</v>
      </c>
      <c r="D33" s="134">
        <v>1</v>
      </c>
      <c r="E33" s="151">
        <f>VLOOKUP(A33,'School Districts'!$A$4:$D$54,4,FALSE)</f>
        <v>313</v>
      </c>
      <c r="F33" s="151">
        <f>VLOOKUP((_xlfn.CONCAT(A33," - ",'State Data Rollup &amp; Size Tags'!F$2)),'Census of Govts Data'!$A$3:$D$470,4,FALSE)</f>
        <v>730</v>
      </c>
      <c r="G33" s="151">
        <f>VLOOKUP((_xlfn.CONCAT(A33," - ",'State Data Rollup &amp; Size Tags'!G$2)),'Census of Govts Data'!$A$3:$D$470,4,FALSE)</f>
        <v>0</v>
      </c>
      <c r="H33" s="151">
        <f>VLOOKUP((_xlfn.CONCAT(A33," - ",'State Data Rollup &amp; Size Tags'!H$2)),'Census of Govts Data'!$A$3:$D$470,4,FALSE)</f>
        <v>129</v>
      </c>
      <c r="I33" s="151">
        <f>VLOOKUP((_xlfn.CONCAT(A33," - ",'State Data Rollup &amp; Size Tags'!I$2)),'Census of Govts Data'!$A$3:$D$470,4,FALSE)</f>
        <v>54</v>
      </c>
      <c r="J33" s="134">
        <v>1</v>
      </c>
      <c r="K33" s="253">
        <f>VLOOKUP(A33,'Phil. Data'!$A$6:$I$57,6,FALSE)</f>
        <v>80508508</v>
      </c>
      <c r="L33" s="253">
        <f>VLOOKUP(A33,'Phil. Data'!$A$6:$I$57,4,FALSE)</f>
        <v>1651715109</v>
      </c>
      <c r="M33" s="240">
        <f>VLOOKUP(A33,'Phil. Data'!$A$6:$I$57,8,FALSE)</f>
        <v>283</v>
      </c>
    </row>
    <row r="34" spans="1:13" x14ac:dyDescent="0.25">
      <c r="A34" s="134" t="s">
        <v>200</v>
      </c>
      <c r="B34" s="280" t="s">
        <v>62</v>
      </c>
      <c r="C34" s="136">
        <f>VLOOKUP(A34,'Pop. Data'!$A$10:$M$60,13,FALSE)</f>
        <v>1934408</v>
      </c>
      <c r="D34" s="134">
        <v>3</v>
      </c>
      <c r="E34" s="151">
        <f>VLOOKUP(A34,'School Districts'!$A$4:$D$54,4,FALSE)</f>
        <v>269</v>
      </c>
      <c r="F34" s="151">
        <f>VLOOKUP((_xlfn.CONCAT(A34," - ",'State Data Rollup &amp; Size Tags'!F$2)),'Census of Govts Data'!$A$3:$D$470,4,FALSE)</f>
        <v>1281</v>
      </c>
      <c r="G34" s="151">
        <f>VLOOKUP((_xlfn.CONCAT(A34," - ",'State Data Rollup &amp; Size Tags'!G$2)),'Census of Govts Data'!$A$3:$D$470,4,FALSE)</f>
        <v>366</v>
      </c>
      <c r="H34" s="151">
        <f>VLOOKUP((_xlfn.CONCAT(A34," - ",'State Data Rollup &amp; Size Tags'!H$2)),'Census of Govts Data'!$A$3:$D$470,4,FALSE)</f>
        <v>529</v>
      </c>
      <c r="I34" s="151">
        <f>VLOOKUP((_xlfn.CONCAT(A34," - ",'State Data Rollup &amp; Size Tags'!I$2)),'Census of Govts Data'!$A$3:$D$470,4,FALSE)</f>
        <v>93</v>
      </c>
      <c r="J34" s="134">
        <v>1</v>
      </c>
      <c r="K34" s="253">
        <f>VLOOKUP(A34,'Phil. Data'!$A$6:$I$57,6,FALSE)</f>
        <v>1043355636</v>
      </c>
      <c r="L34" s="253">
        <f>VLOOKUP(A34,'Phil. Data'!$A$6:$I$57,4,FALSE)</f>
        <v>8071136635</v>
      </c>
      <c r="M34" s="240">
        <f>VLOOKUP(A34,'Phil. Data'!$A$6:$I$57,8,FALSE)</f>
        <v>598</v>
      </c>
    </row>
    <row r="35" spans="1:13" x14ac:dyDescent="0.25">
      <c r="A35" s="134" t="s">
        <v>201</v>
      </c>
      <c r="B35" s="280" t="s">
        <v>62</v>
      </c>
      <c r="C35" s="136">
        <f>VLOOKUP(A35,'Pop. Data'!$A$10:$M$60,13,FALSE)</f>
        <v>3080156</v>
      </c>
      <c r="D35" s="134">
        <v>4</v>
      </c>
      <c r="E35" s="151">
        <f>VLOOKUP(A35,'School Districts'!$A$4:$D$54,4,FALSE)</f>
        <v>17</v>
      </c>
      <c r="F35" s="151">
        <f>VLOOKUP((_xlfn.CONCAT(A35," - ",'State Data Rollup &amp; Size Tags'!F$2)),'Census of Govts Data'!$A$3:$D$470,4,FALSE)</f>
        <v>137</v>
      </c>
      <c r="G35" s="151">
        <f>VLOOKUP((_xlfn.CONCAT(A35," - ",'State Data Rollup &amp; Size Tags'!G$2)),'Census of Govts Data'!$A$3:$D$470,4,FALSE)</f>
        <v>0</v>
      </c>
      <c r="H35" s="151">
        <f>VLOOKUP((_xlfn.CONCAT(A35," - ",'State Data Rollup &amp; Size Tags'!H$2)),'Census of Govts Data'!$A$3:$D$470,4,FALSE)</f>
        <v>19</v>
      </c>
      <c r="I35" s="151">
        <f>VLOOKUP((_xlfn.CONCAT(A35," - ",'State Data Rollup &amp; Size Tags'!I$2)),'Census of Govts Data'!$A$3:$D$470,4,FALSE)</f>
        <v>16</v>
      </c>
      <c r="J35" s="134">
        <v>1</v>
      </c>
      <c r="K35" s="253">
        <f>VLOOKUP(A35,'Phil. Data'!$A$6:$I$57,6,FALSE)</f>
        <v>360845841</v>
      </c>
      <c r="L35" s="253">
        <f>VLOOKUP(A35,'Phil. Data'!$A$6:$I$57,4,FALSE)</f>
        <v>4279630463</v>
      </c>
      <c r="M35" s="240">
        <f>VLOOKUP(A35,'Phil. Data'!$A$6:$I$57,8,FALSE)</f>
        <v>509</v>
      </c>
    </row>
    <row r="36" spans="1:13" x14ac:dyDescent="0.25">
      <c r="A36" s="134" t="s">
        <v>202</v>
      </c>
      <c r="B36" s="280" t="s">
        <v>62</v>
      </c>
      <c r="C36" s="136">
        <f>VLOOKUP(A36,'Pop. Data'!$A$10:$M$60,13,FALSE)</f>
        <v>1359711</v>
      </c>
      <c r="D36" s="134">
        <v>2</v>
      </c>
      <c r="E36" s="151">
        <f>VLOOKUP(A36,'School Districts'!$A$4:$D$54,4,FALSE)</f>
        <v>178</v>
      </c>
      <c r="F36" s="151">
        <f>VLOOKUP((_xlfn.CONCAT(A36," - ",'State Data Rollup &amp; Size Tags'!F$2)),'Census of Govts Data'!$A$3:$D$470,4,FALSE)</f>
        <v>129</v>
      </c>
      <c r="G36" s="151">
        <f>VLOOKUP((_xlfn.CONCAT(A36," - ",'State Data Rollup &amp; Size Tags'!G$2)),'Census of Govts Data'!$A$3:$D$470,4,FALSE)</f>
        <v>221</v>
      </c>
      <c r="H36" s="151">
        <f>VLOOKUP((_xlfn.CONCAT(A36," - ",'State Data Rollup &amp; Size Tags'!H$2)),'Census of Govts Data'!$A$3:$D$470,4,FALSE)</f>
        <v>13</v>
      </c>
      <c r="I36" s="151">
        <f>VLOOKUP((_xlfn.CONCAT(A36," - ",'State Data Rollup &amp; Size Tags'!I$2)),'Census of Govts Data'!$A$3:$D$470,4,FALSE)</f>
        <v>10</v>
      </c>
      <c r="J36" s="134">
        <v>1</v>
      </c>
      <c r="K36" s="253">
        <f>VLOOKUP(A36,'Phil. Data'!$A$6:$I$57,6,FALSE)</f>
        <v>170839121</v>
      </c>
      <c r="L36" s="253">
        <f>VLOOKUP(A36,'Phil. Data'!$A$6:$I$57,4,FALSE)</f>
        <v>2412957649</v>
      </c>
      <c r="M36" s="240">
        <f>VLOOKUP(A36,'Phil. Data'!$A$6:$I$57,8,FALSE)</f>
        <v>445</v>
      </c>
    </row>
    <row r="37" spans="1:13" x14ac:dyDescent="0.25">
      <c r="A37" s="134" t="s">
        <v>203</v>
      </c>
      <c r="B37" s="280" t="s">
        <v>63</v>
      </c>
      <c r="C37" s="136">
        <f>VLOOKUP(A37,'Pop. Data'!$A$10:$M$60,13,FALSE)</f>
        <v>8882190</v>
      </c>
      <c r="D37" s="134">
        <v>12</v>
      </c>
      <c r="E37" s="151">
        <f>VLOOKUP(A37,'School Districts'!$A$4:$D$54,4,FALSE)</f>
        <v>593</v>
      </c>
      <c r="F37" s="151">
        <f>VLOOKUP((_xlfn.CONCAT(A37," - ",'State Data Rollup &amp; Size Tags'!F$2)),'Census of Govts Data'!$A$3:$D$470,4,FALSE)</f>
        <v>233</v>
      </c>
      <c r="G37" s="151">
        <f>VLOOKUP((_xlfn.CONCAT(A37," - ",'State Data Rollup &amp; Size Tags'!G$2)),'Census of Govts Data'!$A$3:$D$470,4,FALSE)</f>
        <v>241</v>
      </c>
      <c r="H37" s="151">
        <f>VLOOKUP((_xlfn.CONCAT(A37," - ",'State Data Rollup &amp; Size Tags'!H$2)),'Census of Govts Data'!$A$3:$D$470,4,FALSE)</f>
        <v>324</v>
      </c>
      <c r="I37" s="151">
        <f>VLOOKUP((_xlfn.CONCAT(A37," - ",'State Data Rollup &amp; Size Tags'!I$2)),'Census of Govts Data'!$A$3:$D$470,4,FALSE)</f>
        <v>21</v>
      </c>
      <c r="J37" s="134">
        <v>1</v>
      </c>
      <c r="K37" s="253">
        <f>VLOOKUP(A37,'Phil. Data'!$A$6:$I$57,6,FALSE)</f>
        <v>4130119172</v>
      </c>
      <c r="L37" s="253">
        <f>VLOOKUP(A37,'Phil. Data'!$A$6:$I$57,4,FALSE)</f>
        <v>24342626125</v>
      </c>
      <c r="M37" s="240">
        <f>VLOOKUP(A37,'Phil. Data'!$A$6:$I$57,8,FALSE)</f>
        <v>2826</v>
      </c>
    </row>
    <row r="38" spans="1:13" x14ac:dyDescent="0.25">
      <c r="A38" s="134" t="s">
        <v>204</v>
      </c>
      <c r="B38" s="280" t="s">
        <v>62</v>
      </c>
      <c r="C38" s="136">
        <f>VLOOKUP(A38,'Pop. Data'!$A$10:$M$60,13,FALSE)</f>
        <v>2096829</v>
      </c>
      <c r="D38" s="134">
        <v>3</v>
      </c>
      <c r="E38" s="151">
        <f>VLOOKUP(A38,'School Districts'!$A$4:$D$54,4,FALSE)</f>
        <v>96</v>
      </c>
      <c r="F38" s="151">
        <f>VLOOKUP((_xlfn.CONCAT(A38," - ",'State Data Rollup &amp; Size Tags'!F$2)),'Census of Govts Data'!$A$3:$D$470,4,FALSE)</f>
        <v>779</v>
      </c>
      <c r="G38" s="151">
        <f>VLOOKUP((_xlfn.CONCAT(A38," - ",'State Data Rollup &amp; Size Tags'!G$2)),'Census of Govts Data'!$A$3:$D$470,4,FALSE)</f>
        <v>0</v>
      </c>
      <c r="H38" s="151">
        <f>VLOOKUP((_xlfn.CONCAT(A38," - ",'State Data Rollup &amp; Size Tags'!H$2)),'Census of Govts Data'!$A$3:$D$470,4,FALSE)</f>
        <v>105</v>
      </c>
      <c r="I38" s="151">
        <f>VLOOKUP((_xlfn.CONCAT(A38," - ",'State Data Rollup &amp; Size Tags'!I$2)),'Census of Govts Data'!$A$3:$D$470,4,FALSE)</f>
        <v>33</v>
      </c>
      <c r="J38" s="134">
        <v>1</v>
      </c>
      <c r="K38" s="253">
        <f>VLOOKUP(A38,'Phil. Data'!$A$6:$I$57,6,FALSE)</f>
        <v>82529996</v>
      </c>
      <c r="L38" s="253">
        <f>VLOOKUP(A38,'Phil. Data'!$A$6:$I$57,4,FALSE)</f>
        <v>1676033192</v>
      </c>
      <c r="M38" s="240">
        <f>VLOOKUP(A38,'Phil. Data'!$A$6:$I$57,8,FALSE)</f>
        <v>277</v>
      </c>
    </row>
    <row r="39" spans="1:13" x14ac:dyDescent="0.25">
      <c r="A39" s="134" t="s">
        <v>205</v>
      </c>
      <c r="B39" s="280" t="s">
        <v>65</v>
      </c>
      <c r="C39" s="136">
        <f>VLOOKUP(A39,'Pop. Data'!$A$10:$M$60,13,FALSE)</f>
        <v>19453561</v>
      </c>
      <c r="D39" s="134">
        <v>27</v>
      </c>
      <c r="E39" s="151">
        <f>VLOOKUP(A39,'School Districts'!$A$4:$D$54,4,FALSE)</f>
        <v>714</v>
      </c>
      <c r="F39" s="151">
        <f>VLOOKUP((_xlfn.CONCAT(A39," - ",'State Data Rollup &amp; Size Tags'!F$2)),'Census of Govts Data'!$A$3:$D$470,4,FALSE)</f>
        <v>1185</v>
      </c>
      <c r="G39" s="151">
        <f>VLOOKUP((_xlfn.CONCAT(A39," - ",'State Data Rollup &amp; Size Tags'!G$2)),'Census of Govts Data'!$A$3:$D$470,4,FALSE)</f>
        <v>929</v>
      </c>
      <c r="H39" s="151">
        <f>VLOOKUP((_xlfn.CONCAT(A39," - ",'State Data Rollup &amp; Size Tags'!H$2)),'Census of Govts Data'!$A$3:$D$470,4,FALSE)</f>
        <v>601</v>
      </c>
      <c r="I39" s="151">
        <f>VLOOKUP((_xlfn.CONCAT(A39," - ",'State Data Rollup &amp; Size Tags'!I$2)),'Census of Govts Data'!$A$3:$D$470,4,FALSE)</f>
        <v>57</v>
      </c>
      <c r="J39" s="134">
        <v>1</v>
      </c>
      <c r="K39" s="253">
        <f>VLOOKUP(A39,'Phil. Data'!$A$6:$I$57,6,FALSE)</f>
        <v>10490751818</v>
      </c>
      <c r="L39" s="253">
        <f>VLOOKUP(A39,'Phil. Data'!$A$6:$I$57,4,FALSE)</f>
        <v>151125413759</v>
      </c>
      <c r="M39" s="240">
        <f>VLOOKUP(A39,'Phil. Data'!$A$6:$I$57,8,FALSE)</f>
        <v>9639</v>
      </c>
    </row>
    <row r="40" spans="1:13" x14ac:dyDescent="0.25">
      <c r="A40" s="134" t="s">
        <v>206</v>
      </c>
      <c r="B40" s="280" t="s">
        <v>64</v>
      </c>
      <c r="C40" s="136">
        <f>VLOOKUP(A40,'Pop. Data'!$A$10:$M$60,13,FALSE)</f>
        <v>10488084</v>
      </c>
      <c r="D40" s="134">
        <v>13</v>
      </c>
      <c r="E40" s="151">
        <f>VLOOKUP(A40,'School Districts'!$A$4:$D$54,4,FALSE)</f>
        <v>174</v>
      </c>
      <c r="F40" s="151">
        <f>VLOOKUP((_xlfn.CONCAT(A40," - ",'State Data Rollup &amp; Size Tags'!F$2)),'Census of Govts Data'!$A$3:$D$470,4,FALSE)</f>
        <v>318</v>
      </c>
      <c r="G40" s="151">
        <f>VLOOKUP((_xlfn.CONCAT(A40," - ",'State Data Rollup &amp; Size Tags'!G$2)),'Census of Govts Data'!$A$3:$D$470,4,FALSE)</f>
        <v>0</v>
      </c>
      <c r="H40" s="151">
        <f>VLOOKUP((_xlfn.CONCAT(A40," - ",'State Data Rollup &amp; Size Tags'!H$2)),'Census of Govts Data'!$A$3:$D$470,4,FALSE)</f>
        <v>552</v>
      </c>
      <c r="I40" s="151">
        <f>VLOOKUP((_xlfn.CONCAT(A40," - ",'State Data Rollup &amp; Size Tags'!I$2)),'Census of Govts Data'!$A$3:$D$470,4,FALSE)</f>
        <v>100</v>
      </c>
      <c r="J40" s="134">
        <v>1</v>
      </c>
      <c r="K40" s="253">
        <f>VLOOKUP(A40,'Phil. Data'!$A$6:$I$57,6,FALSE)</f>
        <v>1415232576</v>
      </c>
      <c r="L40" s="253">
        <f>VLOOKUP(A40,'Phil. Data'!$A$6:$I$57,4,FALSE)</f>
        <v>19131877674</v>
      </c>
      <c r="M40" s="240">
        <f>VLOOKUP(A40,'Phil. Data'!$A$6:$I$57,8,FALSE)</f>
        <v>3456</v>
      </c>
    </row>
    <row r="41" spans="1:13" x14ac:dyDescent="0.25">
      <c r="A41" s="134" t="s">
        <v>207</v>
      </c>
      <c r="B41" s="280" t="s">
        <v>61</v>
      </c>
      <c r="C41" s="136">
        <f>VLOOKUP(A41,'Pop. Data'!$A$10:$M$60,13,FALSE)</f>
        <v>762062</v>
      </c>
      <c r="D41" s="134">
        <v>1</v>
      </c>
      <c r="E41" s="151">
        <f>VLOOKUP(A41,'School Districts'!$A$4:$D$54,4,FALSE)</f>
        <v>179</v>
      </c>
      <c r="F41" s="151">
        <f>VLOOKUP((_xlfn.CONCAT(A41," - ",'State Data Rollup &amp; Size Tags'!F$2)),'Census of Govts Data'!$A$3:$D$470,4,FALSE)</f>
        <v>767</v>
      </c>
      <c r="G41" s="151">
        <f>VLOOKUP((_xlfn.CONCAT(A41," - ",'State Data Rollup &amp; Size Tags'!G$2)),'Census of Govts Data'!$A$3:$D$470,4,FALSE)</f>
        <v>1308</v>
      </c>
      <c r="H41" s="151">
        <f>VLOOKUP((_xlfn.CONCAT(A41," - ",'State Data Rollup &amp; Size Tags'!H$2)),'Census of Govts Data'!$A$3:$D$470,4,FALSE)</f>
        <v>357</v>
      </c>
      <c r="I41" s="151">
        <f>VLOOKUP((_xlfn.CONCAT(A41," - ",'State Data Rollup &amp; Size Tags'!I$2)),'Census of Govts Data'!$A$3:$D$470,4,FALSE)</f>
        <v>53</v>
      </c>
      <c r="J41" s="134">
        <v>1</v>
      </c>
      <c r="K41" s="253">
        <f>VLOOKUP(A41,'Phil. Data'!$A$6:$I$57,6,FALSE)</f>
        <v>22904979</v>
      </c>
      <c r="L41" s="253">
        <f>VLOOKUP(A41,'Phil. Data'!$A$6:$I$57,4,FALSE)</f>
        <v>404224407</v>
      </c>
      <c r="M41" s="240">
        <f>VLOOKUP(A41,'Phil. Data'!$A$6:$I$57,8,FALSE)</f>
        <v>90</v>
      </c>
    </row>
    <row r="42" spans="1:13" x14ac:dyDescent="0.25">
      <c r="A42" s="134" t="s">
        <v>208</v>
      </c>
      <c r="B42" s="280" t="s">
        <v>64</v>
      </c>
      <c r="C42" s="136">
        <f>VLOOKUP(A42,'Pop. Data'!$A$10:$M$60,13,FALSE)</f>
        <v>11689100</v>
      </c>
      <c r="D42" s="134">
        <v>16</v>
      </c>
      <c r="E42" s="151">
        <f>VLOOKUP(A42,'School Districts'!$A$4:$D$54,4,FALSE)</f>
        <v>666</v>
      </c>
      <c r="F42" s="151">
        <f>VLOOKUP((_xlfn.CONCAT(A42," - ",'State Data Rollup &amp; Size Tags'!F$2)),'Census of Govts Data'!$A$3:$D$470,4,FALSE)</f>
        <v>904</v>
      </c>
      <c r="G42" s="151">
        <f>VLOOKUP((_xlfn.CONCAT(A42," - ",'State Data Rollup &amp; Size Tags'!G$2)),'Census of Govts Data'!$A$3:$D$470,4,FALSE)</f>
        <v>1308</v>
      </c>
      <c r="H42" s="151">
        <f>VLOOKUP((_xlfn.CONCAT(A42," - ",'State Data Rollup &amp; Size Tags'!H$2)),'Census of Govts Data'!$A$3:$D$470,4,FALSE)</f>
        <v>931</v>
      </c>
      <c r="I42" s="151">
        <f>VLOOKUP((_xlfn.CONCAT(A42," - ",'State Data Rollup &amp; Size Tags'!I$2)),'Census of Govts Data'!$A$3:$D$470,4,FALSE)</f>
        <v>88</v>
      </c>
      <c r="J42" s="134">
        <v>1</v>
      </c>
      <c r="K42" s="253">
        <f>VLOOKUP(A42,'Phil. Data'!$A$6:$I$57,6,FALSE)</f>
        <v>1672835323</v>
      </c>
      <c r="L42" s="253">
        <f>VLOOKUP(A42,'Phil. Data'!$A$6:$I$57,4,FALSE)</f>
        <v>23385932231</v>
      </c>
      <c r="M42" s="240">
        <f>VLOOKUP(A42,'Phil. Data'!$A$6:$I$57,8,FALSE)</f>
        <v>3626</v>
      </c>
    </row>
    <row r="43" spans="1:13" x14ac:dyDescent="0.25">
      <c r="A43" s="134" t="s">
        <v>209</v>
      </c>
      <c r="B43" s="280" t="s">
        <v>62</v>
      </c>
      <c r="C43" s="136">
        <f>VLOOKUP(A43,'Pop. Data'!$A$10:$M$60,13,FALSE)</f>
        <v>3956971</v>
      </c>
      <c r="D43" s="134">
        <v>5</v>
      </c>
      <c r="E43" s="151">
        <f>VLOOKUP(A43,'School Districts'!$A$4:$D$54,4,FALSE)</f>
        <v>542</v>
      </c>
      <c r="F43" s="151">
        <f>VLOOKUP((_xlfn.CONCAT(A43," - ",'State Data Rollup &amp; Size Tags'!F$2)),'Census of Govts Data'!$A$3:$D$470,4,FALSE)</f>
        <v>621</v>
      </c>
      <c r="G43" s="151">
        <f>VLOOKUP((_xlfn.CONCAT(A43," - ",'State Data Rollup &amp; Size Tags'!G$2)),'Census of Govts Data'!$A$3:$D$470,4,FALSE)</f>
        <v>0</v>
      </c>
      <c r="H43" s="151">
        <f>VLOOKUP((_xlfn.CONCAT(A43," - ",'State Data Rollup &amp; Size Tags'!H$2)),'Census of Govts Data'!$A$3:$D$470,4,FALSE)</f>
        <v>590</v>
      </c>
      <c r="I43" s="151">
        <f>VLOOKUP((_xlfn.CONCAT(A43," - ",'State Data Rollup &amp; Size Tags'!I$2)),'Census of Govts Data'!$A$3:$D$470,4,FALSE)</f>
        <v>77</v>
      </c>
      <c r="J43" s="134">
        <v>1</v>
      </c>
      <c r="K43" s="253">
        <f>VLOOKUP(A43,'Phil. Data'!$A$6:$I$57,6,FALSE)</f>
        <v>738122169</v>
      </c>
      <c r="L43" s="253">
        <f>VLOOKUP(A43,'Phil. Data'!$A$6:$I$57,4,FALSE)</f>
        <v>15119018224</v>
      </c>
      <c r="M43" s="240">
        <f>VLOOKUP(A43,'Phil. Data'!$A$6:$I$57,8,FALSE)</f>
        <v>792</v>
      </c>
    </row>
    <row r="44" spans="1:13" x14ac:dyDescent="0.25">
      <c r="A44" s="134" t="s">
        <v>210</v>
      </c>
      <c r="B44" s="280" t="s">
        <v>62</v>
      </c>
      <c r="C44" s="136">
        <f>VLOOKUP(A44,'Pop. Data'!$A$10:$M$60,13,FALSE)</f>
        <v>4217737</v>
      </c>
      <c r="D44" s="134">
        <v>5</v>
      </c>
      <c r="E44" s="151">
        <f>VLOOKUP(A44,'School Districts'!$A$4:$D$54,4,FALSE)</f>
        <v>230</v>
      </c>
      <c r="F44" s="151">
        <f>VLOOKUP((_xlfn.CONCAT(A44," - ",'State Data Rollup &amp; Size Tags'!F$2)),'Census of Govts Data'!$A$3:$D$470,4,FALSE)</f>
        <v>1004</v>
      </c>
      <c r="G44" s="151">
        <f>VLOOKUP((_xlfn.CONCAT(A44," - ",'State Data Rollup &amp; Size Tags'!G$2)),'Census of Govts Data'!$A$3:$D$470,4,FALSE)</f>
        <v>0</v>
      </c>
      <c r="H44" s="151">
        <f>VLOOKUP((_xlfn.CONCAT(A44," - ",'State Data Rollup &amp; Size Tags'!H$2)),'Census of Govts Data'!$A$3:$D$470,4,FALSE)</f>
        <v>240</v>
      </c>
      <c r="I44" s="151">
        <f>VLOOKUP((_xlfn.CONCAT(A44," - ",'State Data Rollup &amp; Size Tags'!I$2)),'Census of Govts Data'!$A$3:$D$470,4,FALSE)</f>
        <v>36</v>
      </c>
      <c r="J44" s="134">
        <v>1</v>
      </c>
      <c r="K44" s="253">
        <f>VLOOKUP(A44,'Phil. Data'!$A$6:$I$57,6,FALSE)</f>
        <v>399847794</v>
      </c>
      <c r="L44" s="253">
        <f>VLOOKUP(A44,'Phil. Data'!$A$6:$I$57,4,FALSE)</f>
        <v>7164494541</v>
      </c>
      <c r="M44" s="240">
        <f>VLOOKUP(A44,'Phil. Data'!$A$6:$I$57,8,FALSE)</f>
        <v>867</v>
      </c>
    </row>
    <row r="45" spans="1:13" x14ac:dyDescent="0.25">
      <c r="A45" s="134" t="s">
        <v>211</v>
      </c>
      <c r="B45" s="280" t="s">
        <v>64</v>
      </c>
      <c r="C45" s="136">
        <f>VLOOKUP(A45,'Pop. Data'!$A$10:$M$60,13,FALSE)</f>
        <v>12801989</v>
      </c>
      <c r="D45" s="134">
        <v>18</v>
      </c>
      <c r="E45" s="151">
        <f>VLOOKUP(A45,'School Districts'!$A$4:$D$54,4,FALSE)</f>
        <v>514</v>
      </c>
      <c r="F45" s="151">
        <f>VLOOKUP((_xlfn.CONCAT(A45," - ",'State Data Rollup &amp; Size Tags'!F$2)),'Census of Govts Data'!$A$3:$D$470,4,FALSE)</f>
        <v>1691</v>
      </c>
      <c r="G45" s="151">
        <f>VLOOKUP((_xlfn.CONCAT(A45," - ",'State Data Rollup &amp; Size Tags'!G$2)),'Census of Govts Data'!$A$3:$D$470,4,FALSE)</f>
        <v>1546</v>
      </c>
      <c r="H45" s="151">
        <f>VLOOKUP((_xlfn.CONCAT(A45," - ",'State Data Rollup &amp; Size Tags'!H$2)),'Census of Govts Data'!$A$3:$D$470,4,FALSE)</f>
        <v>1013</v>
      </c>
      <c r="I45" s="151">
        <f>VLOOKUP((_xlfn.CONCAT(A45," - ",'State Data Rollup &amp; Size Tags'!I$2)),'Census of Govts Data'!$A$3:$D$470,4,FALSE)</f>
        <v>66</v>
      </c>
      <c r="J45" s="134">
        <v>1</v>
      </c>
      <c r="K45" s="253">
        <f>VLOOKUP(A45,'Phil. Data'!$A$6:$I$57,6,FALSE)</f>
        <v>2469569058</v>
      </c>
      <c r="L45" s="253">
        <f>VLOOKUP(A45,'Phil. Data'!$A$6:$I$57,4,FALSE)</f>
        <v>35939558875</v>
      </c>
      <c r="M45" s="240">
        <f>VLOOKUP(A45,'Phil. Data'!$A$6:$I$57,8,FALSE)</f>
        <v>6656</v>
      </c>
    </row>
    <row r="46" spans="1:13" x14ac:dyDescent="0.25">
      <c r="A46" s="134" t="s">
        <v>212</v>
      </c>
      <c r="B46" s="280" t="s">
        <v>62</v>
      </c>
      <c r="C46" s="136">
        <f>VLOOKUP(A46,'Pop. Data'!$A$10:$M$60,13,FALSE)</f>
        <v>1059361</v>
      </c>
      <c r="D46" s="134">
        <v>2</v>
      </c>
      <c r="E46" s="151">
        <f>VLOOKUP(A46,'School Districts'!$A$4:$D$54,4,FALSE)</f>
        <v>36</v>
      </c>
      <c r="F46" s="151">
        <f>VLOOKUP((_xlfn.CONCAT(A46," - ",'State Data Rollup &amp; Size Tags'!F$2)),'Census of Govts Data'!$A$3:$D$470,4,FALSE)</f>
        <v>86</v>
      </c>
      <c r="G46" s="151">
        <f>VLOOKUP((_xlfn.CONCAT(A46," - ",'State Data Rollup &amp; Size Tags'!G$2)),'Census of Govts Data'!$A$3:$D$470,4,FALSE)</f>
        <v>31</v>
      </c>
      <c r="H46" s="151">
        <f>VLOOKUP((_xlfn.CONCAT(A46," - ",'State Data Rollup &amp; Size Tags'!H$2)),'Census of Govts Data'!$A$3:$D$470,4,FALSE)</f>
        <v>8</v>
      </c>
      <c r="I46" s="151">
        <f>VLOOKUP((_xlfn.CONCAT(A46," - ",'State Data Rollup &amp; Size Tags'!I$2)),'Census of Govts Data'!$A$3:$D$470,4,FALSE)</f>
        <v>0</v>
      </c>
      <c r="J46" s="134">
        <v>1</v>
      </c>
      <c r="K46" s="253">
        <f>VLOOKUP(A46,'Phil. Data'!$A$6:$I$57,6,FALSE)</f>
        <v>386480541</v>
      </c>
      <c r="L46" s="253">
        <f>VLOOKUP(A46,'Phil. Data'!$A$6:$I$57,4,FALSE)</f>
        <v>7326608877</v>
      </c>
      <c r="M46" s="240">
        <f>VLOOKUP(A46,'Phil. Data'!$A$6:$I$57,8,FALSE)</f>
        <v>2675</v>
      </c>
    </row>
    <row r="47" spans="1:13" x14ac:dyDescent="0.25">
      <c r="A47" s="134" t="s">
        <v>213</v>
      </c>
      <c r="B47" s="280" t="s">
        <v>63</v>
      </c>
      <c r="C47" s="136">
        <f>VLOOKUP(A47,'Pop. Data'!$A$10:$M$60,13,FALSE)</f>
        <v>5148714</v>
      </c>
      <c r="D47" s="134">
        <v>7</v>
      </c>
      <c r="E47" s="151">
        <f>VLOOKUP(A47,'School Districts'!$A$4:$D$54,4,FALSE)</f>
        <v>81</v>
      </c>
      <c r="F47" s="151">
        <f>VLOOKUP((_xlfn.CONCAT(A47," - ",'State Data Rollup &amp; Size Tags'!F$2)),'Census of Govts Data'!$A$3:$D$470,4,FALSE)</f>
        <v>274</v>
      </c>
      <c r="G47" s="151">
        <f>VLOOKUP((_xlfn.CONCAT(A47," - ",'State Data Rollup &amp; Size Tags'!G$2)),'Census of Govts Data'!$A$3:$D$470,4,FALSE)</f>
        <v>0</v>
      </c>
      <c r="H47" s="151">
        <f>VLOOKUP((_xlfn.CONCAT(A47," - ",'State Data Rollup &amp; Size Tags'!H$2)),'Census of Govts Data'!$A$3:$D$470,4,FALSE)</f>
        <v>270</v>
      </c>
      <c r="I47" s="151">
        <f>VLOOKUP((_xlfn.CONCAT(A47," - ",'State Data Rollup &amp; Size Tags'!I$2)),'Census of Govts Data'!$A$3:$D$470,4,FALSE)</f>
        <v>46</v>
      </c>
      <c r="J47" s="134">
        <v>1</v>
      </c>
      <c r="K47" s="253">
        <f>VLOOKUP(A47,'Phil. Data'!$A$6:$I$57,6,FALSE)</f>
        <v>187046418</v>
      </c>
      <c r="L47" s="253">
        <f>VLOOKUP(A47,'Phil. Data'!$A$6:$I$57,4,FALSE)</f>
        <v>2521417905</v>
      </c>
      <c r="M47" s="240">
        <f>VLOOKUP(A47,'Phil. Data'!$A$6:$I$57,8,FALSE)</f>
        <v>489</v>
      </c>
    </row>
    <row r="48" spans="1:13" x14ac:dyDescent="0.25">
      <c r="A48" s="134" t="s">
        <v>214</v>
      </c>
      <c r="B48" s="280" t="s">
        <v>61</v>
      </c>
      <c r="C48" s="136">
        <f>VLOOKUP(A48,'Pop. Data'!$A$10:$M$60,13,FALSE)</f>
        <v>884659</v>
      </c>
      <c r="D48" s="134">
        <v>1</v>
      </c>
      <c r="E48" s="151">
        <f>VLOOKUP(A48,'School Districts'!$A$4:$D$54,4,FALSE)</f>
        <v>150</v>
      </c>
      <c r="F48" s="151">
        <f>VLOOKUP((_xlfn.CONCAT(A48," - ",'State Data Rollup &amp; Size Tags'!F$2)),'Census of Govts Data'!$A$3:$D$470,4,FALSE)</f>
        <v>487</v>
      </c>
      <c r="G48" s="151">
        <f>VLOOKUP((_xlfn.CONCAT(A48," - ",'State Data Rollup &amp; Size Tags'!G$2)),'Census of Govts Data'!$A$3:$D$470,4,FALSE)</f>
        <v>902</v>
      </c>
      <c r="H48" s="151">
        <f>VLOOKUP((_xlfn.CONCAT(A48," - ",'State Data Rollup &amp; Size Tags'!H$2)),'Census of Govts Data'!$A$3:$D$470,4,FALSE)</f>
        <v>311</v>
      </c>
      <c r="I48" s="151">
        <f>VLOOKUP((_xlfn.CONCAT(A48," - ",'State Data Rollup &amp; Size Tags'!I$2)),'Census of Govts Data'!$A$3:$D$470,4,FALSE)</f>
        <v>66</v>
      </c>
      <c r="J48" s="134">
        <v>1</v>
      </c>
      <c r="K48" s="253">
        <f>VLOOKUP(A48,'Phil. Data'!$A$6:$I$57,6,FALSE)</f>
        <v>54279722</v>
      </c>
      <c r="L48" s="253">
        <f>VLOOKUP(A48,'Phil. Data'!$A$6:$I$57,4,FALSE)</f>
        <v>1102436430</v>
      </c>
      <c r="M48" s="240">
        <f>VLOOKUP(A48,'Phil. Data'!$A$6:$I$57,8,FALSE)</f>
        <v>159</v>
      </c>
    </row>
    <row r="49" spans="1:13" x14ac:dyDescent="0.25">
      <c r="A49" s="134" t="s">
        <v>215</v>
      </c>
      <c r="B49" s="280" t="s">
        <v>63</v>
      </c>
      <c r="C49" s="136">
        <f>VLOOKUP(A49,'Pop. Data'!$A$10:$M$60,13,FALSE)</f>
        <v>6829174</v>
      </c>
      <c r="D49" s="134">
        <v>9</v>
      </c>
      <c r="E49" s="151">
        <f>VLOOKUP(A49,'School Districts'!$A$4:$D$54,4,FALSE)</f>
        <v>142</v>
      </c>
      <c r="F49" s="151">
        <f>VLOOKUP((_xlfn.CONCAT(A49," - ",'State Data Rollup &amp; Size Tags'!F$2)),'Census of Govts Data'!$A$3:$D$470,4,FALSE)</f>
        <v>455</v>
      </c>
      <c r="G49" s="151">
        <f>VLOOKUP((_xlfn.CONCAT(A49," - ",'State Data Rollup &amp; Size Tags'!G$2)),'Census of Govts Data'!$A$3:$D$470,4,FALSE)</f>
        <v>0</v>
      </c>
      <c r="H49" s="151">
        <f>VLOOKUP((_xlfn.CONCAT(A49," - ",'State Data Rollup &amp; Size Tags'!H$2)),'Census of Govts Data'!$A$3:$D$470,4,FALSE)</f>
        <v>345</v>
      </c>
      <c r="I49" s="151">
        <f>VLOOKUP((_xlfn.CONCAT(A49," - ",'State Data Rollup &amp; Size Tags'!I$2)),'Census of Govts Data'!$A$3:$D$470,4,FALSE)</f>
        <v>92</v>
      </c>
      <c r="J49" s="134">
        <v>1</v>
      </c>
      <c r="K49" s="253">
        <f>VLOOKUP(A49,'Phil. Data'!$A$6:$I$57,6,FALSE)</f>
        <v>672707947</v>
      </c>
      <c r="L49" s="253">
        <f>VLOOKUP(A49,'Phil. Data'!$A$6:$I$57,4,FALSE)</f>
        <v>7630786949</v>
      </c>
      <c r="M49" s="240">
        <f>VLOOKUP(A49,'Phil. Data'!$A$6:$I$57,8,FALSE)</f>
        <v>817</v>
      </c>
    </row>
    <row r="50" spans="1:13" x14ac:dyDescent="0.25">
      <c r="A50" s="134" t="s">
        <v>216</v>
      </c>
      <c r="B50" s="280" t="s">
        <v>65</v>
      </c>
      <c r="C50" s="136">
        <f>VLOOKUP(A50,'Pop. Data'!$A$10:$M$60,13,FALSE)</f>
        <v>28995881</v>
      </c>
      <c r="D50" s="134">
        <v>36</v>
      </c>
      <c r="E50" s="151">
        <f>VLOOKUP(A50,'School Districts'!$A$4:$D$54,4,FALSE)</f>
        <v>1075</v>
      </c>
      <c r="F50" s="151">
        <f>VLOOKUP((_xlfn.CONCAT(A50," - ",'State Data Rollup &amp; Size Tags'!F$2)),'Census of Govts Data'!$A$3:$D$470,4,FALSE)</f>
        <v>2798</v>
      </c>
      <c r="G50" s="151">
        <f>VLOOKUP((_xlfn.CONCAT(A50," - ",'State Data Rollup &amp; Size Tags'!G$2)),'Census of Govts Data'!$A$3:$D$470,4,FALSE)</f>
        <v>0</v>
      </c>
      <c r="H50" s="151">
        <f>VLOOKUP((_xlfn.CONCAT(A50," - ",'State Data Rollup &amp; Size Tags'!H$2)),'Census of Govts Data'!$A$3:$D$470,4,FALSE)</f>
        <v>1218</v>
      </c>
      <c r="I50" s="151">
        <f>VLOOKUP((_xlfn.CONCAT(A50," - ",'State Data Rollup &amp; Size Tags'!I$2)),'Census of Govts Data'!$A$3:$D$470,4,FALSE)</f>
        <v>254</v>
      </c>
      <c r="J50" s="134">
        <v>1</v>
      </c>
      <c r="K50" s="253">
        <f>VLOOKUP(A50,'Phil. Data'!$A$6:$I$57,6,FALSE)</f>
        <v>3212599988</v>
      </c>
      <c r="L50" s="253">
        <f>VLOOKUP(A50,'Phil. Data'!$A$6:$I$57,4,FALSE)</f>
        <v>48578849831</v>
      </c>
      <c r="M50" s="240">
        <f>VLOOKUP(A50,'Phil. Data'!$A$6:$I$57,8,FALSE)</f>
        <v>4782</v>
      </c>
    </row>
    <row r="51" spans="1:13" x14ac:dyDescent="0.25">
      <c r="A51" s="134" t="s">
        <v>217</v>
      </c>
      <c r="B51" s="280" t="s">
        <v>62</v>
      </c>
      <c r="C51" s="136">
        <f>VLOOKUP(A51,'Pop. Data'!$A$10:$M$60,13,FALSE)</f>
        <v>3205958</v>
      </c>
      <c r="D51" s="134">
        <v>4</v>
      </c>
      <c r="E51" s="151">
        <f>VLOOKUP(A51,'School Districts'!$A$4:$D$54,4,FALSE)</f>
        <v>41</v>
      </c>
      <c r="F51" s="151">
        <f>VLOOKUP((_xlfn.CONCAT(A51," - ",'State Data Rollup &amp; Size Tags'!F$2)),'Census of Govts Data'!$A$3:$D$470,4,FALSE)</f>
        <v>299</v>
      </c>
      <c r="G51" s="151">
        <f>VLOOKUP((_xlfn.CONCAT(A51," - ",'State Data Rollup &amp; Size Tags'!G$2)),'Census of Govts Data'!$A$3:$D$470,4,FALSE)</f>
        <v>0</v>
      </c>
      <c r="H51" s="151">
        <f>VLOOKUP((_xlfn.CONCAT(A51," - ",'State Data Rollup &amp; Size Tags'!H$2)),'Census of Govts Data'!$A$3:$D$470,4,FALSE)</f>
        <v>250</v>
      </c>
      <c r="I51" s="151">
        <f>VLOOKUP((_xlfn.CONCAT(A51," - ",'State Data Rollup &amp; Size Tags'!I$2)),'Census of Govts Data'!$A$3:$D$470,4,FALSE)</f>
        <v>29</v>
      </c>
      <c r="J51" s="134">
        <v>1</v>
      </c>
      <c r="K51" s="253">
        <f>VLOOKUP(A51,'Phil. Data'!$A$6:$I$57,6,FALSE)</f>
        <v>218902529</v>
      </c>
      <c r="L51" s="253">
        <f>VLOOKUP(A51,'Phil. Data'!$A$6:$I$57,4,FALSE)</f>
        <v>4196234728</v>
      </c>
      <c r="M51" s="240">
        <f>VLOOKUP(A51,'Phil. Data'!$A$6:$I$57,8,FALSE)</f>
        <v>594</v>
      </c>
    </row>
    <row r="52" spans="1:13" x14ac:dyDescent="0.25">
      <c r="A52" s="134" t="s">
        <v>218</v>
      </c>
      <c r="B52" s="280" t="s">
        <v>61</v>
      </c>
      <c r="C52" s="136">
        <f>VLOOKUP(A52,'Pop. Data'!$A$10:$M$60,13,FALSE)</f>
        <v>623989</v>
      </c>
      <c r="D52" s="134">
        <v>1</v>
      </c>
      <c r="E52" s="151">
        <f>VLOOKUP(A52,'School Districts'!$A$4:$D$54,4,FALSE)</f>
        <v>277</v>
      </c>
      <c r="F52" s="151">
        <f>VLOOKUP((_xlfn.CONCAT(A52," - ",'State Data Rollup &amp; Size Tags'!F$2)),'Census of Govts Data'!$A$3:$D$470,4,FALSE)</f>
        <v>159</v>
      </c>
      <c r="G52" s="151">
        <f>VLOOKUP((_xlfn.CONCAT(A52," - ",'State Data Rollup &amp; Size Tags'!G$2)),'Census of Govts Data'!$A$3:$D$470,4,FALSE)</f>
        <v>237</v>
      </c>
      <c r="H52" s="151">
        <f>VLOOKUP((_xlfn.CONCAT(A52," - ",'State Data Rollup &amp; Size Tags'!H$2)),'Census of Govts Data'!$A$3:$D$470,4,FALSE)</f>
        <v>42</v>
      </c>
      <c r="I52" s="151">
        <f>VLOOKUP((_xlfn.CONCAT(A52," - ",'State Data Rollup &amp; Size Tags'!I$2)),'Census of Govts Data'!$A$3:$D$470,4,FALSE)</f>
        <v>14</v>
      </c>
      <c r="J52" s="134">
        <v>1</v>
      </c>
      <c r="K52" s="253">
        <f>VLOOKUP(A52,'Phil. Data'!$A$6:$I$57,6,FALSE)</f>
        <v>54846677</v>
      </c>
      <c r="L52" s="253">
        <f>VLOOKUP(A52,'Phil. Data'!$A$6:$I$57,4,FALSE)</f>
        <v>857246345</v>
      </c>
      <c r="M52" s="240">
        <f>VLOOKUP(A52,'Phil. Data'!$A$6:$I$57,8,FALSE)</f>
        <v>216</v>
      </c>
    </row>
    <row r="53" spans="1:13" x14ac:dyDescent="0.25">
      <c r="A53" s="134" t="s">
        <v>219</v>
      </c>
      <c r="B53" s="280" t="s">
        <v>63</v>
      </c>
      <c r="C53" s="136">
        <f>VLOOKUP(A53,'Pop. Data'!$A$10:$M$60,13,FALSE)</f>
        <v>8535519</v>
      </c>
      <c r="D53" s="134">
        <v>11</v>
      </c>
      <c r="E53" s="151">
        <f>VLOOKUP(A53,'School Districts'!$A$4:$D$54,4,FALSE)</f>
        <v>134</v>
      </c>
      <c r="F53" s="151">
        <f>VLOOKUP((_xlfn.CONCAT(A53," - ",'State Data Rollup &amp; Size Tags'!F$2)),'Census of Govts Data'!$A$3:$D$470,4,FALSE)</f>
        <v>193</v>
      </c>
      <c r="G53" s="151">
        <f>VLOOKUP((_xlfn.CONCAT(A53," - ",'State Data Rollup &amp; Size Tags'!G$2)),'Census of Govts Data'!$A$3:$D$470,4,FALSE)</f>
        <v>0</v>
      </c>
      <c r="H53" s="151">
        <f>VLOOKUP((_xlfn.CONCAT(A53," - ",'State Data Rollup &amp; Size Tags'!H$2)),'Census of Govts Data'!$A$3:$D$470,4,FALSE)</f>
        <v>228</v>
      </c>
      <c r="I53" s="151">
        <f>VLOOKUP((_xlfn.CONCAT(A53," - ",'State Data Rollup &amp; Size Tags'!I$2)),'Census of Govts Data'!$A$3:$D$470,4,FALSE)</f>
        <v>95</v>
      </c>
      <c r="J53" s="134">
        <v>1</v>
      </c>
      <c r="K53" s="253">
        <f>VLOOKUP(A53,'Phil. Data'!$A$6:$I$57,6,FALSE)</f>
        <v>652950480</v>
      </c>
      <c r="L53" s="253">
        <f>VLOOKUP(A53,'Phil. Data'!$A$6:$I$57,4,FALSE)</f>
        <v>10260981584</v>
      </c>
      <c r="M53" s="240">
        <f>VLOOKUP(A53,'Phil. Data'!$A$6:$I$57,8,FALSE)</f>
        <v>1517</v>
      </c>
    </row>
    <row r="54" spans="1:13" x14ac:dyDescent="0.25">
      <c r="A54" s="134" t="s">
        <v>220</v>
      </c>
      <c r="B54" s="280" t="s">
        <v>63</v>
      </c>
      <c r="C54" s="136">
        <f>VLOOKUP(A54,'Pop. Data'!$A$10:$M$60,13,FALSE)</f>
        <v>7614893</v>
      </c>
      <c r="D54" s="134">
        <v>10</v>
      </c>
      <c r="E54" s="151">
        <f>VLOOKUP(A54,'School Districts'!$A$4:$D$54,4,FALSE)</f>
        <v>295</v>
      </c>
      <c r="F54" s="151">
        <f>VLOOKUP((_xlfn.CONCAT(A54," - ",'State Data Rollup &amp; Size Tags'!F$2)),'Census of Govts Data'!$A$3:$D$470,4,FALSE)</f>
        <v>1285</v>
      </c>
      <c r="G54" s="151">
        <f>VLOOKUP((_xlfn.CONCAT(A54," - ",'State Data Rollup &amp; Size Tags'!G$2)),'Census of Govts Data'!$A$3:$D$470,4,FALSE)</f>
        <v>0</v>
      </c>
      <c r="H54" s="151">
        <f>VLOOKUP((_xlfn.CONCAT(A54," - ",'State Data Rollup &amp; Size Tags'!H$2)),'Census of Govts Data'!$A$3:$D$470,4,FALSE)</f>
        <v>281</v>
      </c>
      <c r="I54" s="151">
        <f>VLOOKUP((_xlfn.CONCAT(A54," - ",'State Data Rollup &amp; Size Tags'!I$2)),'Census of Govts Data'!$A$3:$D$470,4,FALSE)</f>
        <v>39</v>
      </c>
      <c r="J54" s="134">
        <v>1</v>
      </c>
      <c r="K54" s="253">
        <f>VLOOKUP(A54,'Phil. Data'!$A$6:$I$57,6,FALSE)</f>
        <v>4583276833</v>
      </c>
      <c r="L54" s="253">
        <f>VLOOKUP(A54,'Phil. Data'!$A$6:$I$57,4,FALSE)</f>
        <v>54150843917</v>
      </c>
      <c r="M54" s="240">
        <f>VLOOKUP(A54,'Phil. Data'!$A$6:$I$57,8,FALSE)</f>
        <v>1300</v>
      </c>
    </row>
    <row r="55" spans="1:13" x14ac:dyDescent="0.25">
      <c r="A55" s="134" t="s">
        <v>221</v>
      </c>
      <c r="B55" s="280" t="s">
        <v>62</v>
      </c>
      <c r="C55" s="136">
        <f>VLOOKUP(A55,'Pop. Data'!$A$10:$M$60,13,FALSE)</f>
        <v>1792147</v>
      </c>
      <c r="D55" s="134">
        <v>3</v>
      </c>
      <c r="E55" s="151">
        <f>VLOOKUP(A55,'School Districts'!$A$4:$D$54,4,FALSE)</f>
        <v>55</v>
      </c>
      <c r="F55" s="151">
        <f>VLOOKUP((_xlfn.CONCAT(A55," - ",'State Data Rollup &amp; Size Tags'!F$2)),'Census of Govts Data'!$A$3:$D$470,4,FALSE)</f>
        <v>309</v>
      </c>
      <c r="G55" s="151">
        <f>VLOOKUP((_xlfn.CONCAT(A55," - ",'State Data Rollup &amp; Size Tags'!G$2)),'Census of Govts Data'!$A$3:$D$470,4,FALSE)</f>
        <v>0</v>
      </c>
      <c r="H55" s="151">
        <f>VLOOKUP((_xlfn.CONCAT(A55," - ",'State Data Rollup &amp; Size Tags'!H$2)),'Census of Govts Data'!$A$3:$D$470,4,FALSE)</f>
        <v>232</v>
      </c>
      <c r="I55" s="151">
        <f>VLOOKUP((_xlfn.CONCAT(A55," - ",'State Data Rollup &amp; Size Tags'!I$2)),'Census of Govts Data'!$A$3:$D$470,4,FALSE)</f>
        <v>55</v>
      </c>
      <c r="J55" s="134">
        <v>1</v>
      </c>
      <c r="K55" s="253">
        <f>VLOOKUP(A55,'Phil. Data'!$A$6:$I$57,6,FALSE)</f>
        <v>72994735</v>
      </c>
      <c r="L55" s="253">
        <f>VLOOKUP(A55,'Phil. Data'!$A$6:$I$57,4,FALSE)</f>
        <v>1420961399</v>
      </c>
      <c r="M55" s="240">
        <f>VLOOKUP(A55,'Phil. Data'!$A$6:$I$57,8,FALSE)</f>
        <v>293</v>
      </c>
    </row>
    <row r="56" spans="1:13" x14ac:dyDescent="0.25">
      <c r="A56" s="134" t="s">
        <v>222</v>
      </c>
      <c r="B56" s="280" t="s">
        <v>63</v>
      </c>
      <c r="C56" s="136">
        <f>VLOOKUP(A56,'Pop. Data'!$A$10:$M$60,13,FALSE)</f>
        <v>5822434</v>
      </c>
      <c r="D56" s="134">
        <v>8</v>
      </c>
      <c r="E56" s="151">
        <f>VLOOKUP(A56,'School Districts'!$A$4:$D$54,4,FALSE)</f>
        <v>441</v>
      </c>
      <c r="F56" s="151">
        <f>VLOOKUP((_xlfn.CONCAT(A56," - ",'State Data Rollup &amp; Size Tags'!F$2)),'Census of Govts Data'!$A$3:$D$470,4,FALSE)</f>
        <v>734</v>
      </c>
      <c r="G56" s="151">
        <f>VLOOKUP((_xlfn.CONCAT(A56," - ",'State Data Rollup &amp; Size Tags'!G$2)),'Census of Govts Data'!$A$3:$D$470,4,FALSE)</f>
        <v>1251</v>
      </c>
      <c r="H56" s="151">
        <f>VLOOKUP((_xlfn.CONCAT(A56," - ",'State Data Rollup &amp; Size Tags'!H$2)),'Census of Govts Data'!$A$3:$D$470,4,FALSE)</f>
        <v>601</v>
      </c>
      <c r="I56" s="151">
        <f>VLOOKUP((_xlfn.CONCAT(A56," - ",'State Data Rollup &amp; Size Tags'!I$2)),'Census of Govts Data'!$A$3:$D$470,4,FALSE)</f>
        <v>72</v>
      </c>
      <c r="J56" s="134">
        <v>1</v>
      </c>
      <c r="K56" s="253">
        <f>VLOOKUP(A56,'Phil. Data'!$A$6:$I$57,6,FALSE)</f>
        <v>696879197</v>
      </c>
      <c r="L56" s="253">
        <f>VLOOKUP(A56,'Phil. Data'!$A$6:$I$57,4,FALSE)</f>
        <v>10384565875</v>
      </c>
      <c r="M56" s="240">
        <f>VLOOKUP(A56,'Phil. Data'!$A$6:$I$57,8,FALSE)</f>
        <v>1883</v>
      </c>
    </row>
    <row r="57" spans="1:13" ht="15.75" thickBot="1" x14ac:dyDescent="0.3">
      <c r="A57" s="156" t="s">
        <v>223</v>
      </c>
      <c r="B57" s="281" t="s">
        <v>61</v>
      </c>
      <c r="C57" s="282">
        <f>VLOOKUP(A57,'Pop. Data'!$A$10:$M$60,13,FALSE)</f>
        <v>578759</v>
      </c>
      <c r="D57" s="156">
        <v>1</v>
      </c>
      <c r="E57" s="283">
        <f>VLOOKUP(A57,'School Districts'!$A$4:$D$54,4,FALSE)</f>
        <v>55</v>
      </c>
      <c r="F57" s="283">
        <f>VLOOKUP((_xlfn.CONCAT(A57," - ",'State Data Rollup &amp; Size Tags'!F$2)),'Census of Govts Data'!$A$3:$D$470,4,FALSE)</f>
        <v>617</v>
      </c>
      <c r="G57" s="283">
        <f>VLOOKUP((_xlfn.CONCAT(A57," - ",'State Data Rollup &amp; Size Tags'!G$2)),'Census of Govts Data'!$A$3:$D$470,4,FALSE)</f>
        <v>0</v>
      </c>
      <c r="H57" s="283">
        <f>VLOOKUP((_xlfn.CONCAT(A57," - ",'State Data Rollup &amp; Size Tags'!H$2)),'Census of Govts Data'!$A$3:$D$470,4,FALSE)</f>
        <v>99</v>
      </c>
      <c r="I57" s="283">
        <f>VLOOKUP((_xlfn.CONCAT(A57," - ",'State Data Rollup &amp; Size Tags'!I$2)),'Census of Govts Data'!$A$3:$D$470,4,FALSE)</f>
        <v>23</v>
      </c>
      <c r="J57" s="156">
        <v>1</v>
      </c>
      <c r="K57" s="284">
        <f>VLOOKUP(A57,'Phil. Data'!$A$6:$I$57,6,FALSE)</f>
        <v>119354233</v>
      </c>
      <c r="L57" s="284">
        <f>VLOOKUP(A57,'Phil. Data'!$A$6:$I$57,4,FALSE)</f>
        <v>1698342453</v>
      </c>
      <c r="M57" s="282">
        <f>VLOOKUP(A57,'Phil. Data'!$A$6:$I$57,8,FALSE)</f>
        <v>242</v>
      </c>
    </row>
    <row r="58" spans="1:13" x14ac:dyDescent="0.25">
      <c r="A58" s="280"/>
      <c r="B58" s="133" t="s">
        <v>224</v>
      </c>
      <c r="C58" s="153">
        <f t="shared" ref="C58:M58" si="0">SUM(C7:C57)</f>
        <v>328239523</v>
      </c>
      <c r="D58" s="153">
        <f>SUM(D7:D57)</f>
        <v>435</v>
      </c>
      <c r="E58" s="153">
        <f t="shared" si="0"/>
        <v>14061</v>
      </c>
      <c r="F58" s="153">
        <f>SUM(F7:F57)</f>
        <v>38542</v>
      </c>
      <c r="G58" s="153">
        <f>SUM(G7:G57)</f>
        <v>16253</v>
      </c>
      <c r="H58" s="153">
        <f t="shared" si="0"/>
        <v>19495</v>
      </c>
      <c r="I58" s="153">
        <f t="shared" si="0"/>
        <v>3031</v>
      </c>
      <c r="J58" s="153">
        <f t="shared" si="0"/>
        <v>50</v>
      </c>
      <c r="K58" s="153">
        <f t="shared" si="0"/>
        <v>62793608844</v>
      </c>
      <c r="L58" s="153">
        <f t="shared" si="0"/>
        <v>867989379147</v>
      </c>
      <c r="M58" s="153">
        <f t="shared" si="0"/>
        <v>86203</v>
      </c>
    </row>
    <row r="59" spans="1:13" x14ac:dyDescent="0.25">
      <c r="C59" s="132"/>
      <c r="D59" s="132"/>
      <c r="E59" s="132"/>
      <c r="F59" s="132"/>
      <c r="G59" s="132"/>
      <c r="H59" s="132"/>
      <c r="I59" s="132"/>
      <c r="J59" s="132"/>
    </row>
  </sheetData>
  <pageMargins left="0.7" right="0.7" top="0.75" bottom="0.75" header="0.3" footer="0.3"/>
  <pageSetup scale="50" orientation="portrait" horizontalDpi="4294967293"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FFBCC-8379-4F97-B1A3-482B59B6CA7A}">
  <sheetPr>
    <tabColor theme="7" tint="0.39997558519241921"/>
  </sheetPr>
  <dimension ref="A1:O39"/>
  <sheetViews>
    <sheetView zoomScaleNormal="100" workbookViewId="0">
      <pane xSplit="2" ySplit="4" topLeftCell="F5" activePane="bottomRight" state="frozen"/>
      <selection pane="topRight" activeCell="C1" sqref="C1"/>
      <selection pane="bottomLeft" activeCell="A5" sqref="A5"/>
      <selection pane="bottomRight" activeCell="D4" sqref="D4:O4"/>
    </sheetView>
  </sheetViews>
  <sheetFormatPr defaultColWidth="9.140625" defaultRowHeight="15.75" x14ac:dyDescent="0.25"/>
  <cols>
    <col min="1" max="1" width="33.42578125" style="88" bestFit="1" customWidth="1"/>
    <col min="2" max="2" width="5.5703125" style="88" bestFit="1" customWidth="1"/>
    <col min="3" max="3" width="9.85546875" style="88" customWidth="1"/>
    <col min="4" max="15" width="20.7109375" style="88" customWidth="1"/>
    <col min="16" max="18" width="9.140625" style="88"/>
    <col min="19" max="19" width="15.28515625" style="88" bestFit="1" customWidth="1"/>
    <col min="20" max="20" width="9.140625" style="88"/>
    <col min="21" max="21" width="14.28515625" style="88" bestFit="1" customWidth="1"/>
    <col min="22" max="24" width="9.140625" style="88"/>
    <col min="25" max="25" width="15.28515625" style="88" bestFit="1" customWidth="1"/>
    <col min="26" max="26" width="9.140625" style="88"/>
    <col min="27" max="27" width="15.28515625" style="88" bestFit="1" customWidth="1"/>
    <col min="28" max="16384" width="9.140625" style="88"/>
  </cols>
  <sheetData>
    <row r="1" spans="1:15" x14ac:dyDescent="0.25">
      <c r="A1" s="3" t="s">
        <v>225</v>
      </c>
      <c r="B1" s="3"/>
      <c r="C1" s="3"/>
    </row>
    <row r="4" spans="1:15" ht="31.5" x14ac:dyDescent="0.25">
      <c r="A4" s="94" t="s">
        <v>226</v>
      </c>
      <c r="B4" s="89"/>
      <c r="C4" s="119" t="s">
        <v>227</v>
      </c>
      <c r="D4" s="90" t="s">
        <v>228</v>
      </c>
      <c r="E4" s="92" t="s">
        <v>229</v>
      </c>
      <c r="F4" s="90" t="s">
        <v>230</v>
      </c>
      <c r="G4" s="92" t="s">
        <v>231</v>
      </c>
      <c r="H4" s="92" t="s">
        <v>232</v>
      </c>
      <c r="I4" s="90" t="s">
        <v>233</v>
      </c>
      <c r="J4" s="91" t="s">
        <v>234</v>
      </c>
      <c r="K4" s="90" t="s">
        <v>235</v>
      </c>
      <c r="L4" s="92" t="s">
        <v>236</v>
      </c>
      <c r="M4" s="91" t="s">
        <v>237</v>
      </c>
      <c r="N4" s="93" t="s">
        <v>238</v>
      </c>
      <c r="O4" s="91" t="s">
        <v>239</v>
      </c>
    </row>
    <row r="5" spans="1:15" x14ac:dyDescent="0.25">
      <c r="A5" s="95" t="str">
        <f>'INN Rollups 2021'!A10</f>
        <v>Local: General</v>
      </c>
      <c r="B5" s="102">
        <v>2021</v>
      </c>
      <c r="C5" s="102">
        <f>'INN Rollups 2021'!C10</f>
        <v>60</v>
      </c>
      <c r="D5" s="98">
        <f>'INN Rollups 2021'!D13</f>
        <v>0.65813094599760291</v>
      </c>
      <c r="E5" s="98">
        <f>'INN Rollups 2021'!D14</f>
        <v>0.34186905400239703</v>
      </c>
      <c r="F5" s="109">
        <f>'INN Rollups 2021'!E13</f>
        <v>357700.67571428552</v>
      </c>
      <c r="G5" s="110">
        <f>'INN Rollups 2021'!E14</f>
        <v>185809.21071428602</v>
      </c>
      <c r="H5" s="98">
        <f>'INN Rollups 2021'!D17</f>
        <v>0.60679800927563099</v>
      </c>
      <c r="I5" s="98">
        <f>'INN Rollups 2021'!D18</f>
        <v>0.39320199072436895</v>
      </c>
      <c r="J5" s="109">
        <f>'INN Rollups 2021'!E17</f>
        <v>387710.28823529434</v>
      </c>
      <c r="K5" s="110">
        <f>'INN Rollups 2021'!E18</f>
        <v>251234.27372549052</v>
      </c>
      <c r="L5" s="98">
        <f>'INN Rollups 2021'!D21</f>
        <v>0.64703562508216139</v>
      </c>
      <c r="M5" s="98">
        <f>'INN Rollups 2021'!D22</f>
        <v>0.35296437491783861</v>
      </c>
      <c r="N5" s="115">
        <f>'INN Rollups 2021'!E21</f>
        <v>5.3500000000000023</v>
      </c>
      <c r="O5" s="99">
        <f>'INN Rollups 2021'!E22</f>
        <v>2.9184782608695636</v>
      </c>
    </row>
    <row r="6" spans="1:15" x14ac:dyDescent="0.25">
      <c r="A6" s="97"/>
      <c r="B6" s="65">
        <v>2020</v>
      </c>
      <c r="C6" s="65">
        <f>'INN Rollups 2020'!C10</f>
        <v>19</v>
      </c>
      <c r="D6" s="104">
        <f>'INN Rollups 2020'!D13</f>
        <v>0.6517459838344063</v>
      </c>
      <c r="E6" s="104">
        <f>'INN Rollups 2020'!D14</f>
        <v>0.34825401616559376</v>
      </c>
      <c r="F6" s="111">
        <f>'INN Rollups 2020'!E13</f>
        <v>282222.76470588235</v>
      </c>
      <c r="G6" s="112">
        <f>'INN Rollups 2020'!E14</f>
        <v>160228.125</v>
      </c>
      <c r="H6" s="104">
        <f>'INN Rollups 2020'!D17</f>
        <v>0.64070234181962926</v>
      </c>
      <c r="I6" s="104">
        <f>'INN Rollups 2020'!D18</f>
        <v>0.35929765818037079</v>
      </c>
      <c r="J6" s="111">
        <f>'INN Rollups 2020'!E17</f>
        <v>256766.63470588234</v>
      </c>
      <c r="K6" s="112">
        <f>'INN Rollups 2020'!E18</f>
        <v>143991.43647058823</v>
      </c>
      <c r="L6" s="104">
        <f>'INN Rollups 2020'!D21</f>
        <v>0.81379025598678778</v>
      </c>
      <c r="M6" s="104">
        <f>'INN Rollups 2020'!D22</f>
        <v>0.18620974401321225</v>
      </c>
      <c r="N6" s="116">
        <f>'INN Rollups 2020'!E21</f>
        <v>5.1868421052631577</v>
      </c>
      <c r="O6" s="105">
        <f>'INN Rollups 2020'!E22</f>
        <v>1.7346153846153847</v>
      </c>
    </row>
    <row r="7" spans="1:15" ht="5.25" customHeight="1" x14ac:dyDescent="0.25">
      <c r="A7" s="106"/>
      <c r="B7" s="118"/>
      <c r="C7" s="118"/>
      <c r="D7" s="107"/>
      <c r="E7" s="107"/>
      <c r="F7" s="113"/>
      <c r="G7" s="114"/>
      <c r="H7" s="107"/>
      <c r="I7" s="107"/>
      <c r="J7" s="113"/>
      <c r="K7" s="114"/>
      <c r="L7" s="107"/>
      <c r="M7" s="107"/>
      <c r="N7" s="117"/>
      <c r="O7" s="108"/>
    </row>
    <row r="8" spans="1:15" x14ac:dyDescent="0.25">
      <c r="A8" s="97" t="str">
        <f>'INN Rollups 2021'!A25</f>
        <v>Local: Multiple Related Topics</v>
      </c>
      <c r="B8" s="65">
        <v>2021</v>
      </c>
      <c r="C8" s="65">
        <f>'INN Rollups 2021'!C25</f>
        <v>25</v>
      </c>
      <c r="D8" s="104">
        <f>'INN Rollups 2021'!D28</f>
        <v>0.89040761199871454</v>
      </c>
      <c r="E8" s="104">
        <f>'INN Rollups 2021'!D29</f>
        <v>0.10959238800128537</v>
      </c>
      <c r="F8" s="111">
        <f>'INN Rollups 2021'!E28</f>
        <v>550974.69818181859</v>
      </c>
      <c r="G8" s="112">
        <f>'INN Rollups 2021'!E29</f>
        <v>67814.59647058828</v>
      </c>
      <c r="H8" s="104">
        <f>'INN Rollups 2021'!D32</f>
        <v>0.58919688284393557</v>
      </c>
      <c r="I8" s="104">
        <f>'INN Rollups 2021'!D33</f>
        <v>0.41080311715606438</v>
      </c>
      <c r="J8" s="111">
        <f>'INN Rollups 2021'!E32</f>
        <v>280046.55809523811</v>
      </c>
      <c r="K8" s="112">
        <f>'INN Rollups 2021'!E33</f>
        <v>195255.61380952375</v>
      </c>
      <c r="L8" s="104">
        <f>'INN Rollups 2021'!D36</f>
        <v>0.69326479737033686</v>
      </c>
      <c r="M8" s="104">
        <f>'INN Rollups 2021'!D37</f>
        <v>0.30673520262966308</v>
      </c>
      <c r="N8" s="116">
        <f>'INN Rollups 2021'!E36</f>
        <v>4.7613636363636394</v>
      </c>
      <c r="O8" s="105">
        <f>'INN Rollups 2021'!E37</f>
        <v>2.1066666666666674</v>
      </c>
    </row>
    <row r="9" spans="1:15" x14ac:dyDescent="0.25">
      <c r="A9" s="97"/>
      <c r="B9" s="65">
        <v>2020</v>
      </c>
      <c r="C9" s="65">
        <f>'INN Rollups 2020'!C26</f>
        <v>17</v>
      </c>
      <c r="D9" s="104">
        <f>'INN Rollups 2020'!D29</f>
        <v>0.89609795192081099</v>
      </c>
      <c r="E9" s="104">
        <f>'INN Rollups 2020'!D30</f>
        <v>0.10390204807918911</v>
      </c>
      <c r="F9" s="111">
        <f>'INN Rollups 2020'!E29</f>
        <v>507277.47933333332</v>
      </c>
      <c r="G9" s="112">
        <f>'INN Rollups 2020'!E30</f>
        <v>73523.169166666674</v>
      </c>
      <c r="H9" s="104">
        <f>'INN Rollups 2020'!D33</f>
        <v>0.6673392459457973</v>
      </c>
      <c r="I9" s="104">
        <f>'INN Rollups 2020'!D34</f>
        <v>0.33266075405420265</v>
      </c>
      <c r="J9" s="111">
        <f>'INN Rollups 2020'!E33</f>
        <v>360699.07799999998</v>
      </c>
      <c r="K9" s="112">
        <f>'INN Rollups 2020'!E34</f>
        <v>179804.242</v>
      </c>
      <c r="L9" s="104">
        <f>'INN Rollups 2020'!D37</f>
        <v>0.77904451682953313</v>
      </c>
      <c r="M9" s="104">
        <f>'INN Rollups 2020'!D38</f>
        <v>0.22095548317046693</v>
      </c>
      <c r="N9" s="116">
        <f>'INN Rollups 2020'!E37</f>
        <v>4.484375</v>
      </c>
      <c r="O9" s="105">
        <f>'INN Rollups 2020'!E38</f>
        <v>2.0350000000000001</v>
      </c>
    </row>
    <row r="10" spans="1:15" ht="5.25" customHeight="1" x14ac:dyDescent="0.25">
      <c r="A10" s="106"/>
      <c r="B10" s="118"/>
      <c r="C10" s="118"/>
      <c r="D10" s="107"/>
      <c r="E10" s="107"/>
      <c r="F10" s="113"/>
      <c r="G10" s="114"/>
      <c r="H10" s="107"/>
      <c r="I10" s="107"/>
      <c r="J10" s="113"/>
      <c r="K10" s="114"/>
      <c r="L10" s="107"/>
      <c r="M10" s="107"/>
      <c r="N10" s="117"/>
      <c r="O10" s="108"/>
    </row>
    <row r="11" spans="1:15" x14ac:dyDescent="0.25">
      <c r="A11" s="97" t="str">
        <f>'INN Rollups 2021'!A40</f>
        <v>Local: Single-Topic</v>
      </c>
      <c r="B11" s="65">
        <v>2021</v>
      </c>
      <c r="C11" s="65">
        <f>'INN Rollups 2021'!C40</f>
        <v>7</v>
      </c>
      <c r="D11" s="104">
        <f>'INN Rollups 2021'!D43</f>
        <v>0.77119728623453743</v>
      </c>
      <c r="E11" s="104">
        <f>'INN Rollups 2021'!D44</f>
        <v>0.22880271376546246</v>
      </c>
      <c r="F11" s="111">
        <f>'INN Rollups 2021'!E43</f>
        <v>338107.56</v>
      </c>
      <c r="G11" s="112">
        <f>'INN Rollups 2021'!E44</f>
        <v>100311.46199999998</v>
      </c>
      <c r="H11" s="104">
        <f>'INN Rollups 2021'!D47</f>
        <v>0.56566267024924533</v>
      </c>
      <c r="I11" s="104">
        <f>'INN Rollups 2021'!D48</f>
        <v>0.43433732975075456</v>
      </c>
      <c r="J11" s="111">
        <f>'INN Rollups 2021'!E47</f>
        <v>195557</v>
      </c>
      <c r="K11" s="112">
        <f>'INN Rollups 2021'!E48</f>
        <v>150156.10833333337</v>
      </c>
      <c r="L11" s="104">
        <f>'INN Rollups 2021'!D51</f>
        <v>0.29546612328069277</v>
      </c>
      <c r="M11" s="104">
        <f>'INN Rollups 2021'!D52</f>
        <v>0.70453387671930723</v>
      </c>
      <c r="N11" s="116">
        <f>'INN Rollups 2021'!E51</f>
        <v>2.4166666666666665</v>
      </c>
      <c r="O11" s="105">
        <f>'INN Rollups 2021'!E52</f>
        <v>5.7625000000000011</v>
      </c>
    </row>
    <row r="12" spans="1:15" x14ac:dyDescent="0.25">
      <c r="A12" s="97"/>
      <c r="B12" s="65">
        <v>2020</v>
      </c>
      <c r="C12" s="65">
        <f>'INN Rollups 2020'!C41</f>
        <v>4</v>
      </c>
      <c r="D12" s="104">
        <f>'INN Rollups 2020'!D44</f>
        <v>0.58811634024016635</v>
      </c>
      <c r="E12" s="104">
        <f>'INN Rollups 2020'!D45</f>
        <v>0.41188365975983371</v>
      </c>
      <c r="F12" s="111">
        <f>'INN Rollups 2020'!E44</f>
        <v>324458.98</v>
      </c>
      <c r="G12" s="112">
        <f>'INN Rollups 2020'!E45</f>
        <v>302977.13333333336</v>
      </c>
      <c r="H12" s="104">
        <f>'INN Rollups 2020'!D48</f>
        <v>0.33627956291325561</v>
      </c>
      <c r="I12" s="104">
        <f>'INN Rollups 2020'!D49</f>
        <v>0.66372043708674433</v>
      </c>
      <c r="J12" s="111">
        <f>'INN Rollups 2020'!E48</f>
        <v>248341</v>
      </c>
      <c r="K12" s="112">
        <f>'INN Rollups 2020'!E49</f>
        <v>367616</v>
      </c>
      <c r="L12" s="104">
        <f>'INN Rollups 2020'!D52</f>
        <v>0.36363636363636365</v>
      </c>
      <c r="M12" s="104">
        <f>'INN Rollups 2020'!D53</f>
        <v>0.63636363636363646</v>
      </c>
      <c r="N12" s="116">
        <f>'INN Rollups 2020'!E52</f>
        <v>2.8666666666666667</v>
      </c>
      <c r="O12" s="105">
        <f>'INN Rollups 2020'!E53</f>
        <v>7.5250000000000004</v>
      </c>
    </row>
    <row r="13" spans="1:15" ht="5.25" customHeight="1" x14ac:dyDescent="0.25">
      <c r="A13" s="106"/>
      <c r="B13" s="118"/>
      <c r="C13" s="118"/>
      <c r="D13" s="107"/>
      <c r="E13" s="107"/>
      <c r="F13" s="113"/>
      <c r="G13" s="114"/>
      <c r="H13" s="107"/>
      <c r="I13" s="107"/>
      <c r="J13" s="113"/>
      <c r="K13" s="114"/>
      <c r="L13" s="107"/>
      <c r="M13" s="107"/>
      <c r="N13" s="117"/>
      <c r="O13" s="108"/>
    </row>
    <row r="14" spans="1:15" x14ac:dyDescent="0.25">
      <c r="A14" s="97" t="str">
        <f>'INN Rollups 2021'!G10</f>
        <v>State: General</v>
      </c>
      <c r="B14" s="65">
        <v>2021</v>
      </c>
      <c r="C14" s="65">
        <f>'INN Rollups 2021'!I10</f>
        <v>29</v>
      </c>
      <c r="D14" s="104">
        <f>'INN Rollups 2021'!J13</f>
        <v>0.43999075096664897</v>
      </c>
      <c r="E14" s="104">
        <f>'INN Rollups 2021'!J14</f>
        <v>0.56000924903335103</v>
      </c>
      <c r="F14" s="111">
        <f>'INN Rollups 2021'!K13</f>
        <v>766813.45039999986</v>
      </c>
      <c r="G14" s="112">
        <f>'INN Rollups 2021'!K14</f>
        <v>975981.02588235238</v>
      </c>
      <c r="H14" s="104">
        <f>'INN Rollups 2021'!J17</f>
        <v>0.63758537397859205</v>
      </c>
      <c r="I14" s="104">
        <f>'INN Rollups 2021'!J18</f>
        <v>0.36241462602140784</v>
      </c>
      <c r="J14" s="111">
        <f>'INN Rollups 2021'!K17</f>
        <v>694815.3558333331</v>
      </c>
      <c r="K14" s="112">
        <f>'INN Rollups 2021'!K18</f>
        <v>394945.14399999991</v>
      </c>
      <c r="L14" s="104">
        <f>'INN Rollups 2021'!J21</f>
        <v>0.66576329739710494</v>
      </c>
      <c r="M14" s="104">
        <f>'INN Rollups 2021'!J22</f>
        <v>0.33423670260289506</v>
      </c>
      <c r="N14" s="116">
        <f>'INN Rollups 2021'!K21</f>
        <v>7.3055555555555509</v>
      </c>
      <c r="O14" s="105">
        <f>'INN Rollups 2021'!K22</f>
        <v>3.6676470588235324</v>
      </c>
    </row>
    <row r="15" spans="1:15" x14ac:dyDescent="0.25">
      <c r="A15" s="97"/>
      <c r="B15" s="65">
        <v>2020</v>
      </c>
      <c r="C15" s="65">
        <f>'INN Rollups 2020'!I10</f>
        <v>8</v>
      </c>
      <c r="D15" s="104">
        <f>'INN Rollups 2020'!J13</f>
        <v>0.92559576330829163</v>
      </c>
      <c r="E15" s="104">
        <f>'INN Rollups 2020'!J14</f>
        <v>7.4404236691708425E-2</v>
      </c>
      <c r="F15" s="111">
        <f>'INN Rollups 2020'!K13</f>
        <v>492565.72749999998</v>
      </c>
      <c r="G15" s="112">
        <f>'INN Rollups 2020'!K14</f>
        <v>52793.351666666662</v>
      </c>
      <c r="H15" s="104">
        <f>'INN Rollups 2020'!J17</f>
        <v>0.62513581603370605</v>
      </c>
      <c r="I15" s="104">
        <f>'INN Rollups 2020'!J18</f>
        <v>0.3748641839662939</v>
      </c>
      <c r="J15" s="111">
        <f>'INN Rollups 2020'!K17</f>
        <v>311429.92875000002</v>
      </c>
      <c r="K15" s="112">
        <f>'INN Rollups 2020'!K18</f>
        <v>186749.7</v>
      </c>
      <c r="L15" s="104">
        <f>'INN Rollups 2020'!J21</f>
        <v>0.75657894736842102</v>
      </c>
      <c r="M15" s="104">
        <f>'INN Rollups 2020'!J22</f>
        <v>0.24342105263157893</v>
      </c>
      <c r="N15" s="116">
        <f>'INN Rollups 2020'!K21</f>
        <v>5.75</v>
      </c>
      <c r="O15" s="105">
        <f>'INN Rollups 2020'!K22</f>
        <v>2.1583333333333332</v>
      </c>
    </row>
    <row r="16" spans="1:15" ht="5.25" customHeight="1" x14ac:dyDescent="0.25">
      <c r="A16" s="106"/>
      <c r="B16" s="118"/>
      <c r="C16" s="118"/>
      <c r="D16" s="107"/>
      <c r="E16" s="107"/>
      <c r="F16" s="113"/>
      <c r="G16" s="114"/>
      <c r="H16" s="107"/>
      <c r="I16" s="107"/>
      <c r="J16" s="113"/>
      <c r="K16" s="114"/>
      <c r="L16" s="107"/>
      <c r="M16" s="107"/>
      <c r="N16" s="117"/>
      <c r="O16" s="108"/>
    </row>
    <row r="17" spans="1:15" x14ac:dyDescent="0.25">
      <c r="A17" s="97" t="str">
        <f>'INN Rollups 2021'!G25</f>
        <v>State: Multiple Related Topics</v>
      </c>
      <c r="B17" s="65">
        <v>2021</v>
      </c>
      <c r="C17" s="65">
        <f>'INN Rollups 2021'!I25</f>
        <v>26</v>
      </c>
      <c r="D17" s="104">
        <f>'INN Rollups 2021'!J28</f>
        <v>0.82823024514683474</v>
      </c>
      <c r="E17" s="104">
        <f>'INN Rollups 2021'!J29</f>
        <v>0.17176975485316517</v>
      </c>
      <c r="F17" s="111">
        <f>'INN Rollups 2021'!K28</f>
        <v>1346854.4286956524</v>
      </c>
      <c r="G17" s="112">
        <f>'INN Rollups 2021'!K29</f>
        <v>279329.1556249999</v>
      </c>
      <c r="H17" s="104">
        <f>'INN Rollups 2021'!J32</f>
        <v>0.59488710387656019</v>
      </c>
      <c r="I17" s="104">
        <f>'INN Rollups 2021'!J33</f>
        <v>0.4051128961234397</v>
      </c>
      <c r="J17" s="111">
        <f>'INN Rollups 2021'!K32</f>
        <v>835167.65086956555</v>
      </c>
      <c r="K17" s="112">
        <f>'INN Rollups 2021'!K33</f>
        <v>568741.83956521738</v>
      </c>
      <c r="L17" s="104">
        <f>'INN Rollups 2021'!J36</f>
        <v>0.66102466102466106</v>
      </c>
      <c r="M17" s="104">
        <f>'INN Rollups 2021'!J37</f>
        <v>0.33897533897533882</v>
      </c>
      <c r="N17" s="116">
        <f>'INN Rollups 2021'!K36</f>
        <v>9.0800000000000054</v>
      </c>
      <c r="O17" s="105">
        <f>'INN Rollups 2021'!K37</f>
        <v>4.65625</v>
      </c>
    </row>
    <row r="18" spans="1:15" x14ac:dyDescent="0.25">
      <c r="A18" s="97"/>
      <c r="B18" s="65">
        <v>2020</v>
      </c>
      <c r="C18" s="65">
        <f>'INN Rollups 2020'!I26</f>
        <v>20</v>
      </c>
      <c r="D18" s="104">
        <f>'INN Rollups 2020'!J29</f>
        <v>0.9035587480061068</v>
      </c>
      <c r="E18" s="104">
        <f>'INN Rollups 2020'!J30</f>
        <v>9.6441251993893182E-2</v>
      </c>
      <c r="F18" s="111">
        <f>'INN Rollups 2020'!K29</f>
        <v>882344.95562500006</v>
      </c>
      <c r="G18" s="112">
        <f>'INN Rollups 2020'!K30</f>
        <v>125569.33333333333</v>
      </c>
      <c r="H18" s="104">
        <f>'INN Rollups 2020'!J33</f>
        <v>0.68057057970413692</v>
      </c>
      <c r="I18" s="104">
        <f>'INN Rollups 2020'!J34</f>
        <v>0.31942942029586302</v>
      </c>
      <c r="J18" s="111">
        <f>'INN Rollups 2020'!K33</f>
        <v>454352.45500000002</v>
      </c>
      <c r="K18" s="112">
        <f>'INN Rollups 2020'!K34</f>
        <v>213252.74062500001</v>
      </c>
      <c r="L18" s="104">
        <f>'INN Rollups 2020'!J37</f>
        <v>0.75510808409831209</v>
      </c>
      <c r="M18" s="104">
        <f>'INN Rollups 2020'!J38</f>
        <v>0.24489191590168791</v>
      </c>
      <c r="N18" s="116">
        <f>'INN Rollups 2020'!K37</f>
        <v>6.375</v>
      </c>
      <c r="O18" s="105">
        <f>'INN Rollups 2020'!K38</f>
        <v>2.5843750000000001</v>
      </c>
    </row>
    <row r="19" spans="1:15" ht="5.25" customHeight="1" x14ac:dyDescent="0.25">
      <c r="A19" s="106"/>
      <c r="B19" s="118"/>
      <c r="C19" s="118"/>
      <c r="D19" s="107"/>
      <c r="E19" s="107"/>
      <c r="F19" s="113"/>
      <c r="G19" s="114"/>
      <c r="H19" s="107"/>
      <c r="I19" s="107"/>
      <c r="J19" s="113"/>
      <c r="K19" s="114"/>
      <c r="L19" s="107"/>
      <c r="M19" s="107"/>
      <c r="N19" s="117"/>
      <c r="O19" s="108"/>
    </row>
    <row r="20" spans="1:15" x14ac:dyDescent="0.25">
      <c r="A20" s="97" t="str">
        <f>'INN Rollups 2021'!G40</f>
        <v>State: Single-Topic</v>
      </c>
      <c r="B20" s="65">
        <v>2021</v>
      </c>
      <c r="C20" s="65">
        <f>'INN Rollups 2021'!I40</f>
        <v>8</v>
      </c>
      <c r="D20" s="104">
        <f>'INN Rollups 2021'!J43</f>
        <v>0.95622400131796415</v>
      </c>
      <c r="E20" s="104">
        <f>'INN Rollups 2021'!J44</f>
        <v>4.3775998682035841E-2</v>
      </c>
      <c r="F20" s="111">
        <f>'INN Rollups 2021'!K43</f>
        <v>812966.30999999982</v>
      </c>
      <c r="G20" s="112">
        <f>'INN Rollups 2021'!K44</f>
        <v>37217.652000000002</v>
      </c>
      <c r="H20" s="104">
        <f>'INN Rollups 2021'!J47</f>
        <v>0.73847670712718272</v>
      </c>
      <c r="I20" s="104">
        <f>'INN Rollups 2021'!J48</f>
        <v>0.26152329287281728</v>
      </c>
      <c r="J20" s="111">
        <f>'INN Rollups 2021'!K47</f>
        <v>566330.125</v>
      </c>
      <c r="K20" s="112">
        <f>'INN Rollups 2021'!K48</f>
        <v>200559.5</v>
      </c>
      <c r="L20" s="104">
        <f>'INN Rollups 2021'!J51</f>
        <v>0.43164652567975836</v>
      </c>
      <c r="M20" s="104">
        <f>'INN Rollups 2021'!J52</f>
        <v>0.56835347432024164</v>
      </c>
      <c r="N20" s="116">
        <f>'INN Rollups 2021'!K51</f>
        <v>5.4428571428571431</v>
      </c>
      <c r="O20" s="105">
        <f>'INN Rollups 2021'!K52</f>
        <v>7.1666666666666661</v>
      </c>
    </row>
    <row r="21" spans="1:15" x14ac:dyDescent="0.25">
      <c r="A21" s="97"/>
      <c r="B21" s="65">
        <v>2020</v>
      </c>
      <c r="C21" s="65">
        <f>'INN Rollups 2020'!I41</f>
        <v>3</v>
      </c>
      <c r="D21" s="104">
        <f>'INN Rollups 2020'!J44</f>
        <v>0.78302995838263501</v>
      </c>
      <c r="E21" s="104">
        <f>'INN Rollups 2020'!J45</f>
        <v>0.21697004161736505</v>
      </c>
      <c r="F21" s="111">
        <f>'INN Rollups 2020'!K44</f>
        <v>204707</v>
      </c>
      <c r="G21" s="112">
        <f>'INN Rollups 2020'!K45</f>
        <v>56722.333333333336</v>
      </c>
      <c r="H21" s="104">
        <f>'INN Rollups 2020'!J48</f>
        <v>0.77126875250966009</v>
      </c>
      <c r="I21" s="104">
        <f>'INN Rollups 2020'!J49</f>
        <v>0.22873124749033988</v>
      </c>
      <c r="J21" s="111">
        <f>'INN Rollups 2020'!K44</f>
        <v>204707</v>
      </c>
      <c r="K21" s="112">
        <f>'INN Rollups 2020'!K49</f>
        <v>46329.666666666664</v>
      </c>
      <c r="L21" s="104">
        <f>'INN Rollups 2020'!J52</f>
        <v>0.8571428571428571</v>
      </c>
      <c r="M21" s="104">
        <f>'INN Rollups 2020'!J53</f>
        <v>0.14285714285714285</v>
      </c>
      <c r="N21" s="116">
        <f>'INN Rollups 2020'!K52</f>
        <v>4</v>
      </c>
      <c r="O21" s="105">
        <f>'INN Rollups 2020'!K53</f>
        <v>1</v>
      </c>
    </row>
    <row r="22" spans="1:15" ht="5.25" customHeight="1" x14ac:dyDescent="0.25">
      <c r="A22" s="106"/>
      <c r="B22" s="118"/>
      <c r="C22" s="118"/>
      <c r="D22" s="107"/>
      <c r="E22" s="107"/>
      <c r="F22" s="113"/>
      <c r="G22" s="114"/>
      <c r="H22" s="107"/>
      <c r="I22" s="107"/>
      <c r="J22" s="113"/>
      <c r="K22" s="114"/>
      <c r="L22" s="107"/>
      <c r="M22" s="107"/>
      <c r="N22" s="117"/>
      <c r="O22" s="108"/>
    </row>
    <row r="23" spans="1:15" x14ac:dyDescent="0.25">
      <c r="A23" s="97" t="str">
        <f>'INN Rollups 2021'!M10</f>
        <v>Regional: General</v>
      </c>
      <c r="B23" s="65">
        <v>2021</v>
      </c>
      <c r="C23" s="65">
        <f>'INN Rollups 2021'!O10</f>
        <v>11</v>
      </c>
      <c r="D23" s="104">
        <f>'INN Rollups 2021'!P13</f>
        <v>0.71766561306580945</v>
      </c>
      <c r="E23" s="104">
        <f>'INN Rollups 2021'!P14</f>
        <v>0.28233438693419061</v>
      </c>
      <c r="F23" s="111">
        <f>'INN Rollups 2021'!Q13</f>
        <v>2136187.3579999995</v>
      </c>
      <c r="G23" s="112">
        <f>'INN Rollups 2021'!Q14</f>
        <v>840390.2</v>
      </c>
      <c r="H23" s="104">
        <f>'INN Rollups 2021'!P17</f>
        <v>0.49850681504235156</v>
      </c>
      <c r="I23" s="104">
        <f>'INN Rollups 2021'!P18</f>
        <v>0.50149318495764839</v>
      </c>
      <c r="J23" s="111">
        <f>'INN Rollups 2021'!Q17</f>
        <v>1657087.8000000005</v>
      </c>
      <c r="K23" s="112">
        <f>'INN Rollups 2021'!Q18</f>
        <v>1667014.8000000005</v>
      </c>
      <c r="L23" s="104">
        <f>'INN Rollups 2021'!P21</f>
        <v>0.49428000726348281</v>
      </c>
      <c r="M23" s="104">
        <f>'INN Rollups 2021'!P22</f>
        <v>0.50571999273651724</v>
      </c>
      <c r="N23" s="116">
        <f>'INN Rollups 2021'!Q21</f>
        <v>13.609999999999998</v>
      </c>
      <c r="O23" s="105">
        <f>'INN Rollups 2021'!Q22</f>
        <v>13.925000000000001</v>
      </c>
    </row>
    <row r="24" spans="1:15" x14ac:dyDescent="0.25">
      <c r="A24" s="97"/>
      <c r="B24" s="65">
        <v>2020</v>
      </c>
      <c r="C24" s="65">
        <f>'INN Rollups 2020'!O10</f>
        <v>1</v>
      </c>
      <c r="D24" s="104">
        <f>'INN Rollups 2020'!P13</f>
        <v>0.6580208005602749</v>
      </c>
      <c r="E24" s="104">
        <f>'INN Rollups 2020'!P14</f>
        <v>0.3419791994397251</v>
      </c>
      <c r="F24" s="111">
        <f>'INN Rollups 2020'!Q13</f>
        <v>2221140</v>
      </c>
      <c r="G24" s="112">
        <f>'INN Rollups 2020'!Q14</f>
        <v>1154346</v>
      </c>
      <c r="H24" s="104">
        <f>'INN Rollups 2020'!P17</f>
        <v>0.42327373850994338</v>
      </c>
      <c r="I24" s="104">
        <f>'INN Rollups 2020'!P18</f>
        <v>0.57672626149005668</v>
      </c>
      <c r="J24" s="111">
        <f>'INN Rollups 2020'!Q17</f>
        <v>1539425</v>
      </c>
      <c r="K24" s="112">
        <f>'INN Rollups 2020'!Q18</f>
        <v>2097524</v>
      </c>
      <c r="L24" s="104">
        <f>'INN Rollups 2020'!P21</f>
        <v>0.5423728813559322</v>
      </c>
      <c r="M24" s="104">
        <f>'INN Rollups 2020'!P22</f>
        <v>0.4576271186440678</v>
      </c>
      <c r="N24" s="116">
        <f>'INN Rollups 2020'!Q21</f>
        <v>16</v>
      </c>
      <c r="O24" s="105">
        <f>'INN Rollups 2020'!Q22</f>
        <v>13.5</v>
      </c>
    </row>
    <row r="25" spans="1:15" ht="5.25" customHeight="1" x14ac:dyDescent="0.25">
      <c r="A25" s="106"/>
      <c r="B25" s="118"/>
      <c r="C25" s="118"/>
      <c r="D25" s="107"/>
      <c r="E25" s="107"/>
      <c r="F25" s="113"/>
      <c r="G25" s="114"/>
      <c r="H25" s="107"/>
      <c r="I25" s="107"/>
      <c r="J25" s="113"/>
      <c r="K25" s="114"/>
      <c r="L25" s="107"/>
      <c r="M25" s="107"/>
      <c r="N25" s="117"/>
      <c r="O25" s="108"/>
    </row>
    <row r="26" spans="1:15" x14ac:dyDescent="0.25">
      <c r="A26" s="97" t="str">
        <f>'INN Rollups 2021'!M25</f>
        <v>Regional: Multiple Related Topics</v>
      </c>
      <c r="B26" s="65">
        <v>2021</v>
      </c>
      <c r="C26" s="65">
        <f>'INN Rollups 2021'!O25</f>
        <v>11</v>
      </c>
      <c r="D26" s="104">
        <f>'INN Rollups 2021'!P28</f>
        <v>0.69094012603994126</v>
      </c>
      <c r="E26" s="104">
        <f>'INN Rollups 2021'!P29</f>
        <v>0.30905987396005863</v>
      </c>
      <c r="F26" s="111">
        <f>'INN Rollups 2021'!Q28</f>
        <v>298977.52600000001</v>
      </c>
      <c r="G26" s="112">
        <f>'INN Rollups 2021'!Q29</f>
        <v>133733.66666666669</v>
      </c>
      <c r="H26" s="104">
        <f>'INN Rollups 2021'!P32</f>
        <v>0.46081437490030824</v>
      </c>
      <c r="I26" s="104">
        <f>'INN Rollups 2021'!P33</f>
        <v>0.5391856250996917</v>
      </c>
      <c r="J26" s="111">
        <f>'INN Rollups 2021'!Q32</f>
        <v>155283.5</v>
      </c>
      <c r="K26" s="112">
        <f>'INN Rollups 2021'!Q33</f>
        <v>181692.75</v>
      </c>
      <c r="L26" s="104">
        <f>'INN Rollups 2021'!P36</f>
        <v>0.69053708439897699</v>
      </c>
      <c r="M26" s="104">
        <f>'INN Rollups 2021'!P37</f>
        <v>0.30946291560102296</v>
      </c>
      <c r="N26" s="116">
        <f>'INN Rollups 2021'!Q36</f>
        <v>6.1363636363636376</v>
      </c>
      <c r="O26" s="105">
        <f>'INN Rollups 2021'!Q37</f>
        <v>2.75</v>
      </c>
    </row>
    <row r="27" spans="1:15" x14ac:dyDescent="0.25">
      <c r="A27" s="97"/>
      <c r="B27" s="65">
        <v>2020</v>
      </c>
      <c r="C27" s="65">
        <f>'INN Rollups 2020'!O26</f>
        <v>6</v>
      </c>
      <c r="D27" s="104">
        <f>'INN Rollups 2020'!P29</f>
        <v>0.94285975099811026</v>
      </c>
      <c r="E27" s="104">
        <f>'INN Rollups 2020'!P30</f>
        <v>5.7140249001889826E-2</v>
      </c>
      <c r="F27" s="111">
        <f>'INN Rollups 2020'!Q29</f>
        <v>115351.54</v>
      </c>
      <c r="G27" s="112">
        <f>'INN Rollups 2020'!Q30</f>
        <v>17476.66</v>
      </c>
      <c r="H27" s="104">
        <f>'INN Rollups 2020'!P33</f>
        <v>0.58030890049691164</v>
      </c>
      <c r="I27" s="104">
        <f>'INN Rollups 2020'!P34</f>
        <v>0.41969109950308847</v>
      </c>
      <c r="J27" s="111">
        <f>'INN Rollups 2020'!Q33</f>
        <v>77756.30799999999</v>
      </c>
      <c r="K27" s="112">
        <f>'INN Rollups 2020'!Q34</f>
        <v>56234.930000000008</v>
      </c>
      <c r="L27" s="104">
        <f>'INN Rollups 2020'!P37</f>
        <v>0.83076923076923082</v>
      </c>
      <c r="M27" s="104">
        <f>'INN Rollups 2020'!P38</f>
        <v>0.16923076923076924</v>
      </c>
      <c r="N27" s="116">
        <f>'INN Rollups 2020'!Q37</f>
        <v>2.25</v>
      </c>
      <c r="O27" s="105">
        <f>'INN Rollups 2020'!Q38</f>
        <v>1.375</v>
      </c>
    </row>
    <row r="28" spans="1:15" ht="5.25" customHeight="1" x14ac:dyDescent="0.25">
      <c r="A28" s="106"/>
      <c r="B28" s="118"/>
      <c r="C28" s="118"/>
      <c r="D28" s="107"/>
      <c r="E28" s="107"/>
      <c r="F28" s="113"/>
      <c r="G28" s="114"/>
      <c r="H28" s="107"/>
      <c r="I28" s="107"/>
      <c r="J28" s="113"/>
      <c r="K28" s="114"/>
      <c r="L28" s="107"/>
      <c r="M28" s="107"/>
      <c r="N28" s="117"/>
      <c r="O28" s="108"/>
    </row>
    <row r="29" spans="1:15" x14ac:dyDescent="0.25">
      <c r="A29" s="97" t="str">
        <f>'INN Rollups 2021'!M40</f>
        <v>Regional: Single-Topic</v>
      </c>
      <c r="B29" s="65">
        <v>2021</v>
      </c>
      <c r="C29" s="65">
        <f>'INN Rollups 2021'!O40</f>
        <v>8</v>
      </c>
      <c r="D29" s="104">
        <f>'INN Rollups 2021'!P43</f>
        <v>0.95512046561846142</v>
      </c>
      <c r="E29" s="104">
        <f>'INN Rollups 2021'!P44</f>
        <v>4.4879534381538577E-2</v>
      </c>
      <c r="F29" s="111">
        <f>'INN Rollups 2021'!Q43</f>
        <v>480565.93124999997</v>
      </c>
      <c r="G29" s="112">
        <f>'INN Rollups 2021'!Q44</f>
        <v>22581</v>
      </c>
      <c r="H29" s="104">
        <f>'INN Rollups 2021'!P47</f>
        <v>0.74679930766692393</v>
      </c>
      <c r="I29" s="104">
        <f>'INN Rollups 2021'!P48</f>
        <v>0.25320069233307607</v>
      </c>
      <c r="J29" s="111">
        <f>'INN Rollups 2021'!Q47</f>
        <v>304670.5</v>
      </c>
      <c r="K29" s="112">
        <f>'INN Rollups 2021'!Q48</f>
        <v>103297.875</v>
      </c>
      <c r="L29" s="104">
        <f>'INN Rollups 2021'!P51</f>
        <v>0.73796791443850274</v>
      </c>
      <c r="M29" s="104">
        <f>'INN Rollups 2021'!P52</f>
        <v>0.26203208556149726</v>
      </c>
      <c r="N29" s="116">
        <f>'INN Rollups 2021'!Q51</f>
        <v>4.9285714285714297</v>
      </c>
      <c r="O29" s="105">
        <f>'INN Rollups 2021'!Q52</f>
        <v>1.75</v>
      </c>
    </row>
    <row r="30" spans="1:15" x14ac:dyDescent="0.25">
      <c r="A30" s="97"/>
      <c r="B30" s="65">
        <v>2020</v>
      </c>
      <c r="C30" s="65">
        <f>'INN Rollups 2020'!O41</f>
        <v>3</v>
      </c>
      <c r="D30" s="104">
        <f>'INN Rollups 2020'!P44</f>
        <v>0.96990559037481705</v>
      </c>
      <c r="E30" s="104">
        <f>'INN Rollups 2020'!P45</f>
        <v>3.0094409625182915E-2</v>
      </c>
      <c r="F30" s="111">
        <f>'INN Rollups 2020'!Q44</f>
        <v>546277.53</v>
      </c>
      <c r="G30" s="112">
        <f>'INN Rollups 2020'!Q45</f>
        <v>16950</v>
      </c>
      <c r="H30" s="104">
        <f>'INN Rollups 2020'!P48</f>
        <v>0.79363163484932486</v>
      </c>
      <c r="I30" s="104">
        <f>'INN Rollups 2020'!P49</f>
        <v>0.20636836515067511</v>
      </c>
      <c r="J30" s="111">
        <f>'INN Rollups 2020'!Q48</f>
        <v>426734.86499999999</v>
      </c>
      <c r="K30" s="112">
        <f>'INN Rollups 2020'!Q49</f>
        <v>110964.045</v>
      </c>
      <c r="L30" s="104">
        <f>'INN Rollups 2020'!P52</f>
        <v>0.86363636363636365</v>
      </c>
      <c r="M30" s="104">
        <f>'INN Rollups 2020'!P53</f>
        <v>0.13636363636363635</v>
      </c>
      <c r="N30" s="116">
        <f>'INN Rollups 2020'!Q52</f>
        <v>3.1666666666666665</v>
      </c>
      <c r="O30" s="105">
        <f>'INN Rollups 2020'!Q53</f>
        <v>0.75</v>
      </c>
    </row>
    <row r="31" spans="1:15" ht="5.25" customHeight="1" x14ac:dyDescent="0.25">
      <c r="A31" s="106"/>
      <c r="B31" s="118"/>
      <c r="C31" s="118"/>
      <c r="D31" s="107"/>
      <c r="E31" s="107"/>
      <c r="F31" s="113"/>
      <c r="G31" s="114"/>
      <c r="H31" s="107"/>
      <c r="I31" s="107"/>
      <c r="J31" s="113"/>
      <c r="K31" s="114"/>
      <c r="L31" s="107"/>
      <c r="M31" s="107"/>
      <c r="N31" s="117"/>
      <c r="O31" s="108"/>
    </row>
    <row r="32" spans="1:15" x14ac:dyDescent="0.25">
      <c r="A32" s="97" t="str">
        <f>'INN Rollups 2021'!S10</f>
        <v>National: General</v>
      </c>
      <c r="B32" s="65">
        <v>2021</v>
      </c>
      <c r="C32" s="65">
        <f>'INN Rollups 2021'!U10</f>
        <v>8</v>
      </c>
      <c r="D32" s="104">
        <v>0</v>
      </c>
      <c r="E32" s="104">
        <f>'INN Rollups 2021'!V14</f>
        <v>2.7145234774828407E-2</v>
      </c>
      <c r="F32" s="111">
        <f>'INN Rollups 2021'!W13</f>
        <v>6582097.5600000005</v>
      </c>
      <c r="G32" s="112">
        <f>'INN Rollups 2021'!W14</f>
        <v>183658.02374999996</v>
      </c>
      <c r="H32" s="104">
        <f>'INN Rollups 2021'!V17</f>
        <v>0.59927809282305844</v>
      </c>
      <c r="I32" s="104">
        <f>'INN Rollups 2021'!V18</f>
        <v>0.40072190717694151</v>
      </c>
      <c r="J32" s="111">
        <f>'INN Rollups 2021'!W17</f>
        <v>6396387.25</v>
      </c>
      <c r="K32" s="112">
        <f>'INN Rollups 2021'!W18</f>
        <v>4277100.2787500015</v>
      </c>
      <c r="L32" s="104">
        <f>'INN Rollups 2021'!V21</f>
        <v>0.80395025603511339</v>
      </c>
      <c r="M32" s="104">
        <f>'INN Rollups 2021'!V22</f>
        <v>0.19604974396488661</v>
      </c>
      <c r="N32" s="116">
        <f>'INN Rollups 2021'!W21</f>
        <v>39.25</v>
      </c>
      <c r="O32" s="105">
        <f>'INN Rollups 2021'!W22</f>
        <v>9.5714285714285712</v>
      </c>
    </row>
    <row r="33" spans="1:15" x14ac:dyDescent="0.25">
      <c r="A33" s="97"/>
      <c r="B33" s="65">
        <v>2020</v>
      </c>
      <c r="C33" s="65">
        <f>'INN Rollups 2020'!U10</f>
        <v>5</v>
      </c>
      <c r="D33" s="104">
        <f>'INN Rollups 2020'!V13</f>
        <v>0.97423461534569022</v>
      </c>
      <c r="E33" s="104">
        <f>'INN Rollups 2020'!V14</f>
        <v>2.5765384654309831E-2</v>
      </c>
      <c r="F33" s="111">
        <f>'INN Rollups 2020'!W13</f>
        <v>9280133.404000001</v>
      </c>
      <c r="G33" s="112">
        <f>'INN Rollups 2020'!W14</f>
        <v>306787.25</v>
      </c>
      <c r="H33" s="104">
        <f>'INN Rollups 2020'!V17</f>
        <v>0.78906593988480522</v>
      </c>
      <c r="I33" s="104">
        <f>'INN Rollups 2020'!V18</f>
        <v>0.21093406011519478</v>
      </c>
      <c r="J33" s="111">
        <f>'INN Rollups 2020'!W17</f>
        <v>6608863.5999999996</v>
      </c>
      <c r="K33" s="112">
        <f>'INN Rollups 2020'!W18</f>
        <v>1766689.4</v>
      </c>
      <c r="L33" s="104">
        <f>'INN Rollups 2020'!V21</f>
        <v>0.79201680672268904</v>
      </c>
      <c r="M33" s="104">
        <f>'INN Rollups 2020'!V22</f>
        <v>0.20798319327731093</v>
      </c>
      <c r="N33" s="116">
        <f>'INN Rollups 2020'!W21</f>
        <v>37.700000000000003</v>
      </c>
      <c r="O33" s="105">
        <f>'INN Rollups 2020'!W22</f>
        <v>9.9</v>
      </c>
    </row>
    <row r="34" spans="1:15" ht="5.25" customHeight="1" x14ac:dyDescent="0.25">
      <c r="A34" s="106"/>
      <c r="B34" s="118"/>
      <c r="C34" s="118"/>
      <c r="D34" s="107"/>
      <c r="E34" s="107"/>
      <c r="F34" s="113"/>
      <c r="G34" s="114"/>
      <c r="H34" s="107"/>
      <c r="I34" s="107"/>
      <c r="J34" s="113"/>
      <c r="K34" s="114"/>
      <c r="L34" s="107"/>
      <c r="M34" s="107"/>
      <c r="N34" s="117"/>
      <c r="O34" s="108"/>
    </row>
    <row r="35" spans="1:15" x14ac:dyDescent="0.25">
      <c r="A35" s="97" t="str">
        <f>'INN Rollups 2021'!S25</f>
        <v>National: Multiple Related Topics</v>
      </c>
      <c r="B35" s="65">
        <v>2021</v>
      </c>
      <c r="C35" s="65">
        <f>'INN Rollups 2021'!U25</f>
        <v>20</v>
      </c>
      <c r="D35" s="104">
        <f>'INN Rollups 2021'!V28</f>
        <v>0.82761739154354486</v>
      </c>
      <c r="E35" s="104">
        <f>'INN Rollups 2021'!V29</f>
        <v>0.17238260845645506</v>
      </c>
      <c r="F35" s="111">
        <f>'INN Rollups 2021'!W28</f>
        <v>1961759.6431250002</v>
      </c>
      <c r="G35" s="112">
        <f>'INN Rollups 2021'!W29</f>
        <v>408610.60666666651</v>
      </c>
      <c r="H35" s="104">
        <f>'INN Rollups 2021'!V32</f>
        <v>0.5804436261807544</v>
      </c>
      <c r="I35" s="104">
        <f>'INN Rollups 2021'!V33</f>
        <v>0.41955637381924549</v>
      </c>
      <c r="J35" s="111">
        <f>'INN Rollups 2021'!W32</f>
        <v>1300633.666666667</v>
      </c>
      <c r="K35" s="112">
        <f>'INN Rollups 2021'!W33</f>
        <v>940124.27777777764</v>
      </c>
      <c r="L35" s="104">
        <f>'INN Rollups 2021'!V36</f>
        <v>0.603942863888561</v>
      </c>
      <c r="M35" s="104">
        <f>'INN Rollups 2021'!V37</f>
        <v>0.39605713611143911</v>
      </c>
      <c r="N35" s="116">
        <f>'INN Rollups 2021'!W36</f>
        <v>12.789999999999996</v>
      </c>
      <c r="O35" s="105">
        <f>'INN Rollups 2021'!W37</f>
        <v>8.3874999999999993</v>
      </c>
    </row>
    <row r="36" spans="1:15" x14ac:dyDescent="0.25">
      <c r="A36" s="97"/>
      <c r="B36" s="65">
        <v>2020</v>
      </c>
      <c r="C36" s="65">
        <f>'INN Rollups 2020'!U26</f>
        <v>8</v>
      </c>
      <c r="D36" s="104">
        <f>'INN Rollups 2020'!V29</f>
        <v>0.80562542152568883</v>
      </c>
      <c r="E36" s="104">
        <f>'INN Rollups 2020'!V30</f>
        <v>0.19437457847431122</v>
      </c>
      <c r="F36" s="111">
        <f>'INN Rollups 2020'!W29</f>
        <v>1923806.21</v>
      </c>
      <c r="G36" s="112">
        <f>'INN Rollups 2020'!W30</f>
        <v>464159.90749999997</v>
      </c>
      <c r="H36" s="104">
        <f>'INN Rollups 2020'!V33</f>
        <v>0.71275982618168532</v>
      </c>
      <c r="I36" s="104">
        <f>'INN Rollups 2020'!V34</f>
        <v>0.28724017381831468</v>
      </c>
      <c r="J36" s="111">
        <f>'INN Rollups 2020'!W33</f>
        <v>1683461.375</v>
      </c>
      <c r="K36" s="112">
        <f>'INN Rollups 2020'!W34</f>
        <v>678430.125</v>
      </c>
      <c r="L36" s="104">
        <f>'INN Rollups 2020'!V37</f>
        <v>0.72956609485368318</v>
      </c>
      <c r="M36" s="104">
        <f>'INN Rollups 2020'!V38</f>
        <v>0.27043390514631688</v>
      </c>
      <c r="N36" s="116">
        <f>'INN Rollups 2020'!W37</f>
        <v>11.296875</v>
      </c>
      <c r="O36" s="105">
        <f>'INN Rollups 2020'!W38</f>
        <v>4.7857142857142856</v>
      </c>
    </row>
    <row r="37" spans="1:15" ht="5.25" customHeight="1" x14ac:dyDescent="0.25">
      <c r="A37" s="106"/>
      <c r="B37" s="118"/>
      <c r="C37" s="118"/>
      <c r="D37" s="107"/>
      <c r="E37" s="107"/>
      <c r="F37" s="113"/>
      <c r="G37" s="114"/>
      <c r="H37" s="107"/>
      <c r="I37" s="107"/>
      <c r="J37" s="113"/>
      <c r="K37" s="114"/>
      <c r="L37" s="107"/>
      <c r="M37" s="107"/>
      <c r="N37" s="117"/>
      <c r="O37" s="108"/>
    </row>
    <row r="38" spans="1:15" x14ac:dyDescent="0.25">
      <c r="A38" s="97" t="str">
        <f>'INN Rollups 2021'!S40</f>
        <v>National: Single-Topic</v>
      </c>
      <c r="B38" s="65">
        <v>2021</v>
      </c>
      <c r="C38" s="65">
        <f>'INN Rollups 2021'!U40</f>
        <v>21</v>
      </c>
      <c r="D38" s="104">
        <f>'INN Rollups 2021'!V43</f>
        <v>0.95078387930688024</v>
      </c>
      <c r="E38" s="104">
        <f>'INN Rollups 2021'!V44</f>
        <v>4.9216120693119675E-2</v>
      </c>
      <c r="F38" s="111">
        <f>'INN Rollups 2021'!W43</f>
        <v>3139098.2609999999</v>
      </c>
      <c r="G38" s="112">
        <f>'INN Rollups 2021'!W44</f>
        <v>162491.43705882359</v>
      </c>
      <c r="H38" s="104">
        <f>'INN Rollups 2021'!V47</f>
        <v>0.62287298093414234</v>
      </c>
      <c r="I38" s="104">
        <f>'INN Rollups 2021'!V48</f>
        <v>0.37712701906585777</v>
      </c>
      <c r="J38" s="111">
        <f>'INN Rollups 2021'!W47</f>
        <v>1375785.7085000004</v>
      </c>
      <c r="K38" s="112">
        <f>'INN Rollups 2021'!W48</f>
        <v>832988.39249999996</v>
      </c>
      <c r="L38" s="104">
        <f>'INN Rollups 2021'!V51</f>
        <v>0.57372120063097565</v>
      </c>
      <c r="M38" s="122">
        <f>'INN Rollups 2021'!V52</f>
        <v>0.42627879936902435</v>
      </c>
      <c r="N38" s="116">
        <f>'INN Rollups 2021'!W51</f>
        <v>11.392500000000005</v>
      </c>
      <c r="O38" s="105">
        <f>'INN Rollups 2021'!W52</f>
        <v>8.4647058823529431</v>
      </c>
    </row>
    <row r="39" spans="1:15" x14ac:dyDescent="0.25">
      <c r="A39" s="96"/>
      <c r="B39" s="103">
        <v>2020</v>
      </c>
      <c r="C39" s="103">
        <f>'INN Rollups 2020'!U41</f>
        <v>14</v>
      </c>
      <c r="D39" s="100">
        <f>'INN Rollups 2020'!V44</f>
        <v>0.92691465343397161</v>
      </c>
      <c r="E39" s="100">
        <f>'INN Rollups 2020'!V45</f>
        <v>7.3085346566028372E-2</v>
      </c>
      <c r="F39" s="120">
        <f>'INN Rollups 2020'!W44</f>
        <v>2306679.3050000002</v>
      </c>
      <c r="G39" s="121">
        <f>'INN Rollups 2020'!W45</f>
        <v>202085.55555555556</v>
      </c>
      <c r="H39" s="100">
        <f>'INN Rollups 2020'!V48</f>
        <v>0.58640593943660568</v>
      </c>
      <c r="I39" s="100">
        <f>'INN Rollups 2020'!V49</f>
        <v>0.41359406056339437</v>
      </c>
      <c r="J39" s="120">
        <f>'INN Rollups 2020'!W48</f>
        <v>1365906.5</v>
      </c>
      <c r="K39" s="121">
        <f>'INN Rollups 2020'!W49</f>
        <v>1070420.4444444445</v>
      </c>
      <c r="L39" s="100">
        <f>'INN Rollups 2020'!V52</f>
        <v>0.72884323567176368</v>
      </c>
      <c r="M39" s="100">
        <f>'INN Rollups 2020'!V53</f>
        <v>0.27115676432823627</v>
      </c>
      <c r="N39" s="123">
        <f>'INN Rollups 2020'!W52</f>
        <v>12.007692307692308</v>
      </c>
      <c r="O39" s="101">
        <f>'INN Rollups 2020'!W53</f>
        <v>4.4673076923076929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1AB8-D160-472C-AAE2-5D585917D69E}">
  <sheetPr>
    <tabColor theme="7" tint="0.39997558519241921"/>
  </sheetPr>
  <dimension ref="A1:CP38"/>
  <sheetViews>
    <sheetView zoomScale="115" zoomScaleNormal="115" zoomScaleSheetLayoutView="115" workbookViewId="0">
      <pane xSplit="4" ySplit="7" topLeftCell="BH11" activePane="bottomRight" state="frozen"/>
      <selection pane="topRight" activeCell="D1" sqref="D1"/>
      <selection pane="bottomLeft" activeCell="A8" sqref="A8"/>
      <selection pane="bottomRight" activeCell="B1" sqref="B1"/>
    </sheetView>
  </sheetViews>
  <sheetFormatPr defaultColWidth="9.140625" defaultRowHeight="12" x14ac:dyDescent="0.2"/>
  <cols>
    <col min="1" max="1" width="4" style="134" customWidth="1"/>
    <col min="2" max="2" width="3.28515625" style="134" customWidth="1"/>
    <col min="3" max="3" width="4.140625" style="134" customWidth="1"/>
    <col min="4" max="4" width="39" style="134" customWidth="1"/>
    <col min="5" max="5" width="12.7109375" style="134" customWidth="1"/>
    <col min="6" max="6" width="5.5703125" style="134" bestFit="1" customWidth="1"/>
    <col min="7" max="7" width="2.42578125" style="134" customWidth="1"/>
    <col min="8" max="8" width="12.7109375" style="134" customWidth="1"/>
    <col min="9" max="9" width="5.5703125" style="134" bestFit="1" customWidth="1"/>
    <col min="10" max="10" width="2.42578125" style="134" customWidth="1"/>
    <col min="11" max="11" width="12.7109375" style="134" customWidth="1"/>
    <col min="12" max="12" width="5.5703125" style="134" bestFit="1" customWidth="1"/>
    <col min="13" max="13" width="2.42578125" style="134" customWidth="1"/>
    <col min="14" max="14" width="12.7109375" style="134" customWidth="1"/>
    <col min="15" max="15" width="5.5703125" style="134" bestFit="1" customWidth="1"/>
    <col min="16" max="16" width="2.42578125" style="134" customWidth="1"/>
    <col min="17" max="17" width="12.7109375" style="134" customWidth="1"/>
    <col min="18" max="18" width="5.5703125" style="134" bestFit="1" customWidth="1"/>
    <col min="19" max="19" width="2.42578125" style="134" customWidth="1"/>
    <col min="20" max="20" width="12.7109375" style="134" customWidth="1"/>
    <col min="21" max="21" width="5.5703125" style="134" bestFit="1" customWidth="1"/>
    <col min="22" max="22" width="2.42578125" style="134" customWidth="1"/>
    <col min="23" max="23" width="12.7109375" style="134" customWidth="1"/>
    <col min="24" max="24" width="5.5703125" style="134" bestFit="1" customWidth="1"/>
    <col min="25" max="25" width="2.42578125" style="134" customWidth="1"/>
    <col min="26" max="26" width="12.7109375" style="134" customWidth="1"/>
    <col min="27" max="27" width="5.5703125" style="134" bestFit="1" customWidth="1"/>
    <col min="28" max="28" width="2.42578125" style="134" customWidth="1"/>
    <col min="29" max="29" width="12.7109375" style="134" customWidth="1"/>
    <col min="30" max="30" width="5.5703125" style="134" bestFit="1" customWidth="1"/>
    <col min="31" max="31" width="2.42578125" style="134" customWidth="1"/>
    <col min="32" max="32" width="12.7109375" style="134" customWidth="1"/>
    <col min="33" max="33" width="5.5703125" style="134" bestFit="1" customWidth="1"/>
    <col min="34" max="34" width="2.42578125" style="134" customWidth="1"/>
    <col min="35" max="35" width="12.7109375" style="134" customWidth="1"/>
    <col min="36" max="36" width="5.5703125" style="134" bestFit="1" customWidth="1"/>
    <col min="37" max="37" width="2.42578125" style="134" customWidth="1"/>
    <col min="38" max="38" width="12.7109375" style="134" customWidth="1"/>
    <col min="39" max="39" width="5.5703125" style="134" bestFit="1" customWidth="1"/>
    <col min="40" max="40" width="2.42578125" style="134" customWidth="1"/>
    <col min="41" max="41" width="12.7109375" style="134" customWidth="1"/>
    <col min="42" max="42" width="5.5703125" style="134" bestFit="1" customWidth="1"/>
    <col min="43" max="43" width="2.42578125" style="134" customWidth="1"/>
    <col min="44" max="44" width="12.7109375" style="134" customWidth="1"/>
    <col min="45" max="45" width="5.5703125" style="134" bestFit="1" customWidth="1"/>
    <col min="46" max="46" width="2.42578125" style="134" customWidth="1"/>
    <col min="47" max="47" width="12.7109375" style="134" customWidth="1"/>
    <col min="48" max="48" width="5.5703125" style="134" bestFit="1" customWidth="1"/>
    <col min="49" max="49" width="2.42578125" style="134" customWidth="1"/>
    <col min="50" max="50" width="12.7109375" style="134" customWidth="1"/>
    <col min="51" max="51" width="5.5703125" style="134" bestFit="1" customWidth="1"/>
    <col min="52" max="52" width="2.42578125" style="134" customWidth="1"/>
    <col min="53" max="53" width="12.7109375" style="134" customWidth="1"/>
    <col min="54" max="54" width="5.5703125" style="134" bestFit="1" customWidth="1"/>
    <col min="55" max="55" width="2.42578125" style="134" customWidth="1"/>
    <col min="56" max="56" width="12.7109375" style="134" customWidth="1"/>
    <col min="57" max="57" width="5.5703125" style="134" bestFit="1" customWidth="1"/>
    <col min="58" max="58" width="2.42578125" style="134" customWidth="1"/>
    <col min="59" max="59" width="12.7109375" style="134" customWidth="1"/>
    <col min="60" max="60" width="5.5703125" style="134" bestFit="1" customWidth="1"/>
    <col min="61" max="61" width="2.42578125" style="134" customWidth="1"/>
    <col min="62" max="62" width="12.7109375" style="134" customWidth="1"/>
    <col min="63" max="63" width="5.5703125" style="134" bestFit="1" customWidth="1"/>
    <col min="64" max="64" width="2.42578125" style="134" customWidth="1"/>
    <col min="65" max="65" width="12.7109375" style="134" customWidth="1"/>
    <col min="66" max="66" width="5.5703125" style="134" bestFit="1" customWidth="1"/>
    <col min="67" max="67" width="2.42578125" style="134" customWidth="1"/>
    <col min="68" max="68" width="12.7109375" style="134" customWidth="1"/>
    <col min="69" max="69" width="6.140625" style="134" bestFit="1" customWidth="1"/>
    <col min="70" max="70" width="2.42578125" style="134" customWidth="1"/>
    <col min="71" max="71" width="12.7109375" style="134" customWidth="1"/>
    <col min="72" max="72" width="5.5703125" style="134" bestFit="1" customWidth="1"/>
    <col min="73" max="73" width="2.42578125" style="134" customWidth="1"/>
    <col min="74" max="74" width="12.7109375" style="134" customWidth="1"/>
    <col min="75" max="75" width="5.5703125" style="134" bestFit="1" customWidth="1"/>
    <col min="76" max="76" width="2.42578125" style="134" customWidth="1"/>
    <col min="77" max="77" width="12.7109375" style="134" customWidth="1"/>
    <col min="78" max="78" width="9.5703125" style="134" bestFit="1" customWidth="1"/>
    <col min="79" max="79" width="2.42578125" style="134" customWidth="1"/>
    <col min="80" max="80" width="12.7109375" style="134" customWidth="1"/>
    <col min="81" max="81" width="6.140625" style="134" customWidth="1"/>
    <col min="82" max="82" width="2.42578125" style="134" customWidth="1"/>
    <col min="83" max="83" width="12.7109375" style="134" customWidth="1"/>
    <col min="84" max="84" width="8.28515625" style="134" customWidth="1"/>
    <col min="85" max="85" width="2.42578125" style="134" customWidth="1"/>
    <col min="86" max="86" width="12.7109375" style="134" customWidth="1"/>
    <col min="87" max="87" width="6.140625" style="134" bestFit="1" customWidth="1"/>
    <col min="88" max="88" width="2.42578125" style="134" customWidth="1"/>
    <col min="89" max="89" width="12.7109375" style="134" customWidth="1"/>
    <col min="90" max="90" width="6.140625" style="134" bestFit="1" customWidth="1"/>
    <col min="91" max="91" width="2.42578125" style="134" customWidth="1"/>
    <col min="92" max="92" width="12.7109375" style="134" customWidth="1"/>
    <col min="93" max="93" width="6.140625" style="134" bestFit="1" customWidth="1"/>
    <col min="94" max="94" width="2.42578125" style="134" customWidth="1"/>
    <col min="95" max="16384" width="9.140625" style="134"/>
  </cols>
  <sheetData>
    <row r="1" spans="1:94" x14ac:dyDescent="0.2">
      <c r="B1" s="133" t="s">
        <v>941</v>
      </c>
      <c r="CI1" s="210"/>
      <c r="CL1" s="210"/>
      <c r="CO1" s="210"/>
      <c r="CP1" s="210"/>
    </row>
    <row r="2" spans="1:94" x14ac:dyDescent="0.2">
      <c r="B2" s="133" t="s">
        <v>2</v>
      </c>
    </row>
    <row r="3" spans="1:94" x14ac:dyDescent="0.2">
      <c r="B3" s="135" t="str">
        <f>INSTRUCTIONS!A3</f>
        <v>March 2022</v>
      </c>
    </row>
    <row r="4" spans="1:94" x14ac:dyDescent="0.2">
      <c r="B4" s="133" t="s">
        <v>240</v>
      </c>
      <c r="C4" s="133"/>
      <c r="D4" s="133"/>
    </row>
    <row r="6" spans="1:94" ht="24" x14ac:dyDescent="0.2">
      <c r="A6" s="134">
        <v>1</v>
      </c>
      <c r="E6" s="166" t="str">
        <f>'Dropdown Menus'!E14</f>
        <v>Hyper-local: General</v>
      </c>
      <c r="F6" s="166"/>
      <c r="G6" s="166" t="s">
        <v>70</v>
      </c>
      <c r="H6" s="166" t="str">
        <f>'Dropdown Menus'!E2</f>
        <v>Local: General</v>
      </c>
      <c r="I6" s="166"/>
      <c r="J6" s="166" t="s">
        <v>70</v>
      </c>
      <c r="K6" s="166" t="str">
        <f>'Dropdown Menus'!E3</f>
        <v>Local: Multiple Related Topics</v>
      </c>
      <c r="L6" s="166"/>
      <c r="M6" s="166" t="s">
        <v>70</v>
      </c>
      <c r="N6" s="166" t="str">
        <f>'Dropdown Menus'!E4</f>
        <v>Local: Single-Topic</v>
      </c>
      <c r="O6" s="166"/>
      <c r="P6" s="166" t="s">
        <v>70</v>
      </c>
      <c r="Q6" s="166" t="str">
        <f>'Dropdown Menus'!F2</f>
        <v>Local: Explanatory &amp; Analysis</v>
      </c>
      <c r="R6" s="166"/>
      <c r="S6" s="166"/>
      <c r="T6" s="166" t="str">
        <f>'Dropdown Menus'!F3</f>
        <v>Local: Investigative</v>
      </c>
      <c r="U6" s="166"/>
      <c r="V6" s="166"/>
      <c r="W6" s="166" t="str">
        <f>'Dropdown Menus'!F4</f>
        <v>Local: Current News &amp; Events</v>
      </c>
      <c r="X6" s="166"/>
      <c r="Y6" s="166"/>
      <c r="Z6" s="166" t="str">
        <f>'Dropdown Menus'!E5</f>
        <v>State: General</v>
      </c>
      <c r="AA6" s="166"/>
      <c r="AB6" s="166" t="s">
        <v>70</v>
      </c>
      <c r="AC6" s="166" t="str">
        <f>'Dropdown Menus'!E6</f>
        <v>State: Multiple Related Topics</v>
      </c>
      <c r="AD6" s="166"/>
      <c r="AE6" s="166" t="s">
        <v>70</v>
      </c>
      <c r="AF6" s="166" t="str">
        <f>'Dropdown Menus'!E7</f>
        <v>State: Single-Topic</v>
      </c>
      <c r="AG6" s="166"/>
      <c r="AH6" s="166" t="s">
        <v>70</v>
      </c>
      <c r="AI6" s="166" t="str">
        <f>'Dropdown Menus'!F5</f>
        <v>State: Explanatory &amp; Analysis</v>
      </c>
      <c r="AJ6" s="166"/>
      <c r="AK6" s="166"/>
      <c r="AL6" s="166" t="str">
        <f>'Dropdown Menus'!F6</f>
        <v>State: Investigative</v>
      </c>
      <c r="AM6" s="166"/>
      <c r="AN6" s="166"/>
      <c r="AO6" s="166" t="str">
        <f>'Dropdown Menus'!F7</f>
        <v>State: Current News &amp; Events</v>
      </c>
      <c r="AP6" s="166"/>
      <c r="AQ6" s="166"/>
      <c r="AR6" s="166" t="str">
        <f>'Dropdown Menus'!E8</f>
        <v>Regional: General</v>
      </c>
      <c r="AS6" s="166"/>
      <c r="AT6" s="166" t="s">
        <v>70</v>
      </c>
      <c r="AU6" s="166" t="str">
        <f>'Dropdown Menus'!E9</f>
        <v>Regional: Multiple Related Topics</v>
      </c>
      <c r="AV6" s="166"/>
      <c r="AW6" s="166" t="s">
        <v>70</v>
      </c>
      <c r="AX6" s="166" t="str">
        <f>'Dropdown Menus'!E10</f>
        <v>Regional: Single-Topic</v>
      </c>
      <c r="AY6" s="166"/>
      <c r="AZ6" s="166" t="s">
        <v>70</v>
      </c>
      <c r="BA6" s="166" t="str">
        <f>'Dropdown Menus'!F8</f>
        <v>Regional: Explanatory &amp; Analysis</v>
      </c>
      <c r="BB6" s="166"/>
      <c r="BC6" s="166"/>
      <c r="BD6" s="166" t="str">
        <f>'Dropdown Menus'!F9</f>
        <v>Regional: Investigative</v>
      </c>
      <c r="BE6" s="166"/>
      <c r="BF6" s="166"/>
      <c r="BG6" s="166" t="str">
        <f>'Dropdown Menus'!F10</f>
        <v>Regional: Current News &amp; Events</v>
      </c>
      <c r="BH6" s="166"/>
      <c r="BI6" s="166"/>
      <c r="BJ6" s="166" t="str">
        <f>'Dropdown Menus'!E11</f>
        <v>National: General</v>
      </c>
      <c r="BK6" s="166"/>
      <c r="BL6" s="166" t="s">
        <v>70</v>
      </c>
      <c r="BM6" s="166" t="str">
        <f>'Dropdown Menus'!E12</f>
        <v>National: Multiple Related Topics</v>
      </c>
      <c r="BN6" s="166"/>
      <c r="BO6" s="166" t="s">
        <v>70</v>
      </c>
      <c r="BP6" s="166" t="str">
        <f>'Dropdown Menus'!E13</f>
        <v>National: Single-Topic</v>
      </c>
      <c r="BQ6" s="166"/>
      <c r="BR6" s="166" t="s">
        <v>70</v>
      </c>
      <c r="BS6" s="166" t="str">
        <f>'Dropdown Menus'!F11</f>
        <v>National: Explanatory &amp; Analysis</v>
      </c>
      <c r="BT6" s="166"/>
      <c r="BU6" s="166"/>
      <c r="BV6" s="166" t="str">
        <f>'Dropdown Menus'!F12</f>
        <v>National: Investigative</v>
      </c>
      <c r="BW6" s="166"/>
      <c r="BX6" s="166"/>
      <c r="BY6" s="166" t="str">
        <f>'Dropdown Menus'!F13</f>
        <v>National: Current News &amp; Events</v>
      </c>
      <c r="BZ6" s="166"/>
      <c r="CA6" s="166"/>
      <c r="CB6" s="166" t="s">
        <v>71</v>
      </c>
      <c r="CC6" s="166"/>
      <c r="CD6" s="166" t="s">
        <v>70</v>
      </c>
      <c r="CE6" s="166" t="s">
        <v>72</v>
      </c>
      <c r="CF6" s="166"/>
      <c r="CG6" s="166" t="s">
        <v>70</v>
      </c>
      <c r="CH6" s="166" t="s">
        <v>241</v>
      </c>
      <c r="CI6" s="166"/>
      <c r="CJ6" s="166" t="s">
        <v>70</v>
      </c>
      <c r="CK6" s="166" t="s">
        <v>242</v>
      </c>
      <c r="CL6" s="166"/>
      <c r="CM6" s="166" t="s">
        <v>70</v>
      </c>
      <c r="CN6" s="166" t="s">
        <v>243</v>
      </c>
      <c r="CO6" s="166"/>
      <c r="CP6" s="166" t="s">
        <v>70</v>
      </c>
    </row>
    <row r="7" spans="1:94" x14ac:dyDescent="0.2">
      <c r="A7" s="134">
        <f>A6+1</f>
        <v>2</v>
      </c>
      <c r="E7" s="276" t="s">
        <v>244</v>
      </c>
      <c r="F7" s="157"/>
      <c r="G7" s="157" t="s">
        <v>70</v>
      </c>
      <c r="H7" s="157"/>
      <c r="I7" s="157"/>
      <c r="J7" s="157"/>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7"/>
      <c r="AJ7" s="157"/>
      <c r="AK7" s="157"/>
      <c r="AL7" s="157"/>
      <c r="AM7" s="157"/>
      <c r="AN7" s="157"/>
      <c r="AO7" s="157"/>
      <c r="AP7" s="157"/>
      <c r="AQ7" s="157"/>
      <c r="AR7" s="157"/>
      <c r="AS7" s="157"/>
      <c r="AT7" s="157"/>
      <c r="AU7" s="157"/>
      <c r="AV7" s="157"/>
      <c r="AW7" s="157"/>
      <c r="AX7" s="157"/>
      <c r="AY7" s="157"/>
      <c r="AZ7" s="157"/>
      <c r="BA7" s="157"/>
      <c r="BB7" s="157"/>
      <c r="BC7" s="157"/>
      <c r="BD7" s="157"/>
      <c r="BE7" s="157"/>
      <c r="BF7" s="157"/>
      <c r="BG7" s="157"/>
      <c r="BH7" s="157"/>
      <c r="BI7" s="157"/>
      <c r="BJ7" s="157"/>
      <c r="BK7" s="157"/>
      <c r="BL7" s="157"/>
      <c r="BM7" s="157"/>
      <c r="BN7" s="157"/>
      <c r="BO7" s="157"/>
      <c r="BP7" s="157"/>
      <c r="BQ7" s="157"/>
      <c r="BR7" s="157"/>
      <c r="BS7" s="157"/>
      <c r="BT7" s="157"/>
      <c r="BU7" s="157"/>
      <c r="BV7" s="157"/>
      <c r="BW7" s="157"/>
      <c r="BX7" s="157"/>
      <c r="BY7" s="157"/>
      <c r="BZ7" s="157"/>
      <c r="CA7" s="157"/>
      <c r="CB7" s="276" t="s">
        <v>244</v>
      </c>
      <c r="CC7" s="157"/>
      <c r="CD7" s="157"/>
      <c r="CE7" s="276" t="s">
        <v>244</v>
      </c>
      <c r="CF7" s="157"/>
      <c r="CG7" s="157"/>
      <c r="CH7" s="276" t="s">
        <v>244</v>
      </c>
      <c r="CI7" s="157"/>
      <c r="CJ7" s="157"/>
      <c r="CK7" s="276" t="s">
        <v>244</v>
      </c>
      <c r="CL7" s="157"/>
      <c r="CM7" s="157"/>
      <c r="CN7" s="276" t="s">
        <v>244</v>
      </c>
      <c r="CO7" s="157"/>
      <c r="CP7" s="157"/>
    </row>
    <row r="8" spans="1:94" x14ac:dyDescent="0.2">
      <c r="A8" s="134">
        <f t="shared" ref="A8:A38" si="0">A7+1</f>
        <v>3</v>
      </c>
      <c r="B8" s="167" t="s">
        <v>245</v>
      </c>
      <c r="C8" s="168"/>
      <c r="D8" s="168"/>
      <c r="E8" s="169"/>
      <c r="AF8" s="170"/>
    </row>
    <row r="9" spans="1:94" x14ac:dyDescent="0.2">
      <c r="A9" s="134">
        <f t="shared" si="0"/>
        <v>4</v>
      </c>
      <c r="B9" s="171"/>
      <c r="C9" s="172" t="s">
        <v>246</v>
      </c>
      <c r="D9" s="171"/>
      <c r="E9" s="169"/>
      <c r="AF9" s="170"/>
      <c r="AR9" s="170"/>
      <c r="AS9" s="173"/>
      <c r="AY9" s="173"/>
      <c r="BP9" s="170"/>
      <c r="CB9" s="170"/>
      <c r="CE9" s="170"/>
      <c r="CH9" s="170"/>
      <c r="CK9" s="170"/>
      <c r="CN9" s="170"/>
    </row>
    <row r="10" spans="1:94" x14ac:dyDescent="0.2">
      <c r="A10" s="134">
        <f t="shared" si="0"/>
        <v>5</v>
      </c>
      <c r="B10" s="168"/>
      <c r="C10" s="133"/>
      <c r="D10" s="133" t="s">
        <v>134</v>
      </c>
      <c r="E10" s="174"/>
      <c r="F10" s="173"/>
      <c r="G10" s="164"/>
      <c r="H10" s="253">
        <f>'INN Income Splits'!F9</f>
        <v>218884.81978260897</v>
      </c>
      <c r="I10" s="173">
        <f>H10/H$14</f>
        <v>0.46562431666767079</v>
      </c>
      <c r="J10" s="164"/>
      <c r="K10" s="170">
        <f>'INN Income Splits'!F28</f>
        <v>401868.64399999997</v>
      </c>
      <c r="L10" s="175">
        <f>K10/$K$14</f>
        <v>0.5700606323940266</v>
      </c>
      <c r="N10" s="170">
        <f>'INN Income Splits'!F46</f>
        <v>133183.4</v>
      </c>
      <c r="O10" s="176">
        <f>N10/$N$14</f>
        <v>0.2904168395913761</v>
      </c>
      <c r="P10" s="176"/>
      <c r="Q10" s="253">
        <f>'INN Income Splits'!F64</f>
        <v>236082.64400000009</v>
      </c>
      <c r="R10" s="176">
        <f>Q10/$Q$14</f>
        <v>0.54973444954276507</v>
      </c>
      <c r="S10" s="176"/>
      <c r="T10" s="253">
        <f>'INN Income Splits'!F82</f>
        <v>199414.17391304357</v>
      </c>
      <c r="U10" s="176">
        <f>T10/$T$14</f>
        <v>0.45220934091677495</v>
      </c>
      <c r="V10" s="176"/>
      <c r="W10" s="253">
        <f>'INN Income Splits'!F100</f>
        <v>337993.31107142882</v>
      </c>
      <c r="X10" s="176">
        <f>W10/$W$14</f>
        <v>0.50819080693489149</v>
      </c>
      <c r="Y10" s="176"/>
      <c r="Z10" s="170">
        <f>'INN Income Splits'!O9</f>
        <v>336452.80375000014</v>
      </c>
      <c r="AA10" s="175">
        <f>Z10/$Z$14</f>
        <v>0.29371838051708588</v>
      </c>
      <c r="AB10" s="176"/>
      <c r="AC10" s="170">
        <f>'INN Income Splits'!O28</f>
        <v>633893.65956521768</v>
      </c>
      <c r="AD10" s="175">
        <f>AC10/$AC$14</f>
        <v>0.40314004540023102</v>
      </c>
      <c r="AE10" s="176"/>
      <c r="AF10" s="170">
        <f>'INN Income Splits'!O46</f>
        <v>766903.28571428556</v>
      </c>
      <c r="AG10" s="173">
        <f>AF10/$AF$14</f>
        <v>0.8420367785605275</v>
      </c>
      <c r="AH10" s="176"/>
      <c r="AI10" s="170">
        <f>'INN Income Splits'!O64</f>
        <v>672987.21052631573</v>
      </c>
      <c r="AJ10" s="176">
        <f>AI10/$AI$14</f>
        <v>0.38548975389220064</v>
      </c>
      <c r="AK10" s="176"/>
      <c r="AL10" s="253">
        <f>'INN Income Splits'!O82</f>
        <v>522940.39699999988</v>
      </c>
      <c r="AM10" s="176">
        <f>AL10/AL14</f>
        <v>0.43211312769614713</v>
      </c>
      <c r="AN10" s="176"/>
      <c r="AO10" s="253">
        <f>'INN Income Splits'!O100</f>
        <v>336159.25142857147</v>
      </c>
      <c r="AP10" s="176">
        <f>AO10/$AO$14</f>
        <v>0.37001388371743105</v>
      </c>
      <c r="AQ10" s="176"/>
      <c r="AR10" s="170">
        <f>'INN Income Splits'!X9</f>
        <v>154872.75</v>
      </c>
      <c r="AS10" s="175">
        <f>AR10/$AR$14</f>
        <v>5.3624971824731853E-2</v>
      </c>
      <c r="AT10" s="176"/>
      <c r="AU10" s="170">
        <f>'INN Income Splits'!X28</f>
        <v>153498.60000000003</v>
      </c>
      <c r="AV10" s="175">
        <f>AU10/$AU$14</f>
        <v>0.41525131007046728</v>
      </c>
      <c r="AW10" s="176"/>
      <c r="AX10" s="170">
        <f>'INN Income Splits'!X46</f>
        <v>354606.5</v>
      </c>
      <c r="AY10" s="173">
        <f>AX10/$AX$14</f>
        <v>0.51542790074295708</v>
      </c>
      <c r="AZ10" s="176"/>
      <c r="BA10" s="253">
        <f>'INN Income Splits'!X64</f>
        <v>256565</v>
      </c>
      <c r="BB10" s="176">
        <f>BA10/$BA$14</f>
        <v>0.15746804097444542</v>
      </c>
      <c r="BC10" s="176"/>
      <c r="BD10" s="253">
        <f>'INN Income Splits'!X82</f>
        <v>182986.57142857139</v>
      </c>
      <c r="BE10" s="176">
        <f>BD10/$BD$14</f>
        <v>0.51056588984340268</v>
      </c>
      <c r="BF10" s="176"/>
      <c r="BG10" s="253">
        <f>'INN Income Splits'!X100</f>
        <v>222052</v>
      </c>
      <c r="BH10" s="176">
        <f>BG10/$BG$14</f>
        <v>0.93824061926280855</v>
      </c>
      <c r="BI10" s="176"/>
      <c r="BJ10" s="170">
        <f>'INN Income Splits'!AG9</f>
        <v>2649128.8037500004</v>
      </c>
      <c r="BK10" s="175">
        <f>BJ10/$BJ$14</f>
        <v>0.3129032577576556</v>
      </c>
      <c r="BL10" s="176"/>
      <c r="BM10" s="170">
        <f>'INN Income Splits'!AG28</f>
        <v>1233064.375</v>
      </c>
      <c r="BN10" s="173">
        <f>BM10/$BM$14</f>
        <v>0.54055936763219525</v>
      </c>
      <c r="BO10" s="176"/>
      <c r="BP10" s="170">
        <f>'INN Income Splits'!AG46</f>
        <v>1593105.9355555552</v>
      </c>
      <c r="BQ10" s="175">
        <f>BP10/$BP$14</f>
        <v>0.46087382093209095</v>
      </c>
      <c r="BR10" s="176"/>
      <c r="BS10" s="253">
        <f>'INN Income Splits'!AG64</f>
        <v>861863.35636363586</v>
      </c>
      <c r="BT10" s="176">
        <f>BS10/$BS$14</f>
        <v>0.44939346765002453</v>
      </c>
      <c r="BU10" s="176"/>
      <c r="BV10" s="253">
        <f>'INN Income Splits'!AG82</f>
        <v>2094934.8691666657</v>
      </c>
      <c r="BW10" s="176">
        <f>BV10/$BV$14</f>
        <v>0.36648348514922102</v>
      </c>
      <c r="BX10" s="176"/>
      <c r="BY10" s="253">
        <f>'INN Income Splits'!AG100</f>
        <v>3187219.375</v>
      </c>
      <c r="BZ10" s="176">
        <f>BY10/$BY$14</f>
        <v>0.46732613656170707</v>
      </c>
      <c r="CA10" s="176"/>
      <c r="CB10" s="170"/>
      <c r="CC10" s="175">
        <f>CB10/$CB$14</f>
        <v>0</v>
      </c>
      <c r="CD10" s="176"/>
      <c r="CE10" s="170"/>
      <c r="CF10" s="175">
        <f>CE10/$CE$14</f>
        <v>0</v>
      </c>
      <c r="CG10" s="176"/>
      <c r="CH10" s="170"/>
      <c r="CI10" s="175"/>
      <c r="CJ10" s="176"/>
      <c r="CK10" s="170"/>
      <c r="CL10" s="175"/>
      <c r="CM10" s="176"/>
      <c r="CN10" s="170"/>
      <c r="CO10" s="175"/>
      <c r="CP10" s="176"/>
    </row>
    <row r="11" spans="1:94" x14ac:dyDescent="0.2">
      <c r="A11" s="134">
        <f t="shared" si="0"/>
        <v>6</v>
      </c>
      <c r="B11" s="171"/>
      <c r="C11" s="133"/>
      <c r="D11" s="133" t="s">
        <v>135</v>
      </c>
      <c r="E11" s="174"/>
      <c r="F11" s="173"/>
      <c r="G11" s="164"/>
      <c r="H11" s="253">
        <f>'INN Income Splits'!F10</f>
        <v>102236.50937500008</v>
      </c>
      <c r="I11" s="173">
        <f t="shared" ref="I11:I13" si="1">H11/H$14</f>
        <v>0.21748335432078506</v>
      </c>
      <c r="J11" s="164"/>
      <c r="K11" s="170">
        <f>'INN Income Splits'!F29</f>
        <v>100862.50799999997</v>
      </c>
      <c r="L11" s="175">
        <f t="shared" ref="L11:L13" si="2">K11/$K$14</f>
        <v>0.14307596761723851</v>
      </c>
      <c r="N11" s="170">
        <f>'INN Income Splits'!F47</f>
        <v>7542.8133333333335</v>
      </c>
      <c r="O11" s="176">
        <f t="shared" ref="O11:O13" si="3">N11/$N$14</f>
        <v>1.6447695507806226E-2</v>
      </c>
      <c r="P11" s="176"/>
      <c r="Q11" s="253">
        <f>'INN Income Splits'!F65</f>
        <v>25196.196</v>
      </c>
      <c r="R11" s="176">
        <f t="shared" ref="R11:R13" si="4">Q11/$Q$14</f>
        <v>5.8671051390934162E-2</v>
      </c>
      <c r="S11" s="176"/>
      <c r="T11" s="253">
        <f>'INN Income Splits'!F83</f>
        <v>43962.375</v>
      </c>
      <c r="U11" s="176">
        <f t="shared" ref="U11:U13" si="5">T11/$T$14</f>
        <v>9.9692996910816636E-2</v>
      </c>
      <c r="V11" s="176"/>
      <c r="W11" s="253">
        <f>'INN Income Splits'!F101</f>
        <v>153185.92272727282</v>
      </c>
      <c r="X11" s="176">
        <f t="shared" ref="X11:X13" si="6">W11/$W$14</f>
        <v>0.23032313105565275</v>
      </c>
      <c r="Y11" s="176"/>
      <c r="Z11" s="170">
        <f>'INN Income Splits'!O10</f>
        <v>408926.20399999997</v>
      </c>
      <c r="AA11" s="175">
        <f t="shared" ref="AA11:AA13" si="7">Z11/$Z$14</f>
        <v>0.35698659975836033</v>
      </c>
      <c r="AB11" s="176"/>
      <c r="AC11" s="170">
        <f>'INN Income Splits'!O29</f>
        <v>237186.25</v>
      </c>
      <c r="AD11" s="175">
        <f t="shared" ref="AD11:AD13" si="8">AC11/$AC$14</f>
        <v>0.15084434770793417</v>
      </c>
      <c r="AE11" s="176"/>
      <c r="AF11" s="170">
        <f>'INN Income Splits'!O47</f>
        <v>2220</v>
      </c>
      <c r="AG11" s="173">
        <f t="shared" ref="AG11:AG13" si="9">AF11/$AF$14</f>
        <v>2.4374933361555554E-3</v>
      </c>
      <c r="AH11" s="176"/>
      <c r="AI11" s="170">
        <f>'INN Income Splits'!O65</f>
        <v>429193</v>
      </c>
      <c r="AJ11" s="176">
        <f t="shared" ref="AJ11:AJ13" si="10">AI11/$AI$14</f>
        <v>0.24584345936212365</v>
      </c>
      <c r="AK11" s="176"/>
      <c r="AL11" s="253">
        <f>'INN Income Splits'!O83</f>
        <v>304355.3333333332</v>
      </c>
      <c r="AM11" s="176">
        <f>AL11/$AL$14</f>
        <v>0.25149316398608629</v>
      </c>
      <c r="AN11" s="176"/>
      <c r="AO11" s="253">
        <f>'INN Income Splits'!O101</f>
        <v>121919.34000000003</v>
      </c>
      <c r="AP11" s="176">
        <f t="shared" ref="AP11:AP13" si="11">AO11/$AO$14</f>
        <v>0.13419784909073521</v>
      </c>
      <c r="AQ11" s="176"/>
      <c r="AR11" s="170">
        <f>'INN Income Splits'!X10</f>
        <v>18760</v>
      </c>
      <c r="AS11" s="175">
        <f t="shared" ref="AS11:AS13" si="12">AR11/$AR$14</f>
        <v>6.4956841757634548E-3</v>
      </c>
      <c r="AT11" s="176"/>
      <c r="AU11" s="170">
        <f>'INN Income Splits'!X29</f>
        <v>81765.666666666657</v>
      </c>
      <c r="AV11" s="175">
        <f t="shared" ref="AV11:AV13" si="13">AU11/$AU$14</f>
        <v>0.2211961555487702</v>
      </c>
      <c r="AW11" s="176"/>
      <c r="AX11" s="170">
        <f>'INN Income Splits'!X47</f>
        <v>234050</v>
      </c>
      <c r="AY11" s="173">
        <f t="shared" ref="AY11:AY13" si="14">AX11/$AX$14</f>
        <v>0.34019652817669477</v>
      </c>
      <c r="AZ11" s="176"/>
      <c r="BA11" s="253">
        <f>'INN Income Splits'!X65</f>
        <v>76396.666666666657</v>
      </c>
      <c r="BB11" s="176">
        <f t="shared" ref="BB11:BB13" si="15">BA11/$BA$14</f>
        <v>4.6888832993501509E-2</v>
      </c>
      <c r="BC11" s="176"/>
      <c r="BD11" s="253">
        <f>'INN Income Splits'!X83</f>
        <v>95892.333333333343</v>
      </c>
      <c r="BE11" s="176">
        <f t="shared" ref="BE11:BE13" si="16">BD11/$BD$14</f>
        <v>0.2675570896556459</v>
      </c>
      <c r="BF11" s="176"/>
      <c r="BG11" s="253">
        <f>'INN Income Splits'!X101</f>
        <v>0</v>
      </c>
      <c r="BH11" s="176">
        <f t="shared" ref="BH11:BH13" si="17">BG11/$BG$14</f>
        <v>0</v>
      </c>
      <c r="BI11" s="176"/>
      <c r="BJ11" s="170">
        <f>'INN Income Splits'!AG10</f>
        <v>1927125.92</v>
      </c>
      <c r="BK11" s="175">
        <f t="shared" ref="BK11:BK13" si="18">BJ11/$BJ$14</f>
        <v>0.22762350310171062</v>
      </c>
      <c r="BL11" s="176"/>
      <c r="BM11" s="170">
        <f>'INN Income Splits'!AG29</f>
        <v>269660.59999999998</v>
      </c>
      <c r="BN11" s="173">
        <f t="shared" ref="BN11:BN13" si="19">BM11/$BM$14</f>
        <v>0.11821569608749612</v>
      </c>
      <c r="BO11" s="176"/>
      <c r="BP11" s="170">
        <f>'INN Income Splits'!AG47</f>
        <v>124546.58749999995</v>
      </c>
      <c r="BQ11" s="175">
        <f t="shared" ref="BQ11:BQ13" si="20">BP11/$BP$14</f>
        <v>3.6030411025467113E-2</v>
      </c>
      <c r="BR11" s="176"/>
      <c r="BS11" s="253">
        <f>'INN Income Splits'!AG65</f>
        <v>201954.71666666676</v>
      </c>
      <c r="BT11" s="176">
        <f t="shared" ref="BT11:BT13" si="21">BS11/$BS$14</f>
        <v>0.10530338685477132</v>
      </c>
      <c r="BU11" s="176"/>
      <c r="BV11" s="253">
        <f>'INN Income Splits'!AG83</f>
        <v>1156615.4600000004</v>
      </c>
      <c r="BW11" s="176">
        <f t="shared" ref="BW11:BW13" si="22">BV11/$BV$14</f>
        <v>0.20233586781000165</v>
      </c>
      <c r="BX11" s="176"/>
      <c r="BY11" s="253">
        <f>'INN Income Splits'!AG101</f>
        <v>124328.02500000001</v>
      </c>
      <c r="BZ11" s="176">
        <f t="shared" ref="BZ11:BZ13" si="23">BY11/$BY$14</f>
        <v>1.8229600398810747E-2</v>
      </c>
      <c r="CA11" s="176"/>
      <c r="CB11" s="177"/>
      <c r="CC11" s="175"/>
      <c r="CD11" s="176"/>
      <c r="CE11" s="170">
        <f>'INN Income Splits'!AM47</f>
        <v>0</v>
      </c>
      <c r="CF11" s="175"/>
      <c r="CG11" s="176"/>
      <c r="CH11" s="170"/>
      <c r="CI11" s="175"/>
      <c r="CJ11" s="176"/>
      <c r="CK11" s="170"/>
      <c r="CL11" s="175"/>
      <c r="CM11" s="176"/>
      <c r="CN11" s="170"/>
      <c r="CO11" s="175"/>
      <c r="CP11" s="176"/>
    </row>
    <row r="12" spans="1:94" x14ac:dyDescent="0.2">
      <c r="A12" s="134">
        <f t="shared" si="0"/>
        <v>7</v>
      </c>
      <c r="B12" s="171"/>
      <c r="C12" s="133"/>
      <c r="D12" s="133" t="s">
        <v>247</v>
      </c>
      <c r="E12" s="174"/>
      <c r="F12" s="173"/>
      <c r="G12" s="164"/>
      <c r="H12" s="253">
        <f>'INN Income Splits'!F11</f>
        <v>107951.91428571445</v>
      </c>
      <c r="I12" s="173">
        <f t="shared" si="1"/>
        <v>0.22964149077206339</v>
      </c>
      <c r="J12" s="164"/>
      <c r="K12" s="170">
        <f>'INN Income Splits'!F30</f>
        <v>157759.90190476182</v>
      </c>
      <c r="L12" s="175">
        <f t="shared" si="2"/>
        <v>0.223786331153142</v>
      </c>
      <c r="N12" s="170">
        <f>'INN Income Splits'!F48</f>
        <v>193248.38400000002</v>
      </c>
      <c r="O12" s="176">
        <f t="shared" si="3"/>
        <v>0.42139324373323295</v>
      </c>
      <c r="P12" s="176"/>
      <c r="Q12" s="253">
        <f>'INN Income Splits'!F66</f>
        <v>99512.426818181775</v>
      </c>
      <c r="R12" s="176">
        <f t="shared" si="4"/>
        <v>0.2317214355645637</v>
      </c>
      <c r="S12" s="176"/>
      <c r="T12" s="253">
        <f>'INN Income Splits'!F84</f>
        <v>134437.44083333338</v>
      </c>
      <c r="U12" s="176">
        <f t="shared" si="5"/>
        <v>0.30486231405140418</v>
      </c>
      <c r="V12" s="176"/>
      <c r="W12" s="253">
        <f>'INN Income Splits'!F102</f>
        <v>143209.3686206897</v>
      </c>
      <c r="X12" s="176">
        <f t="shared" si="6"/>
        <v>0.21532285467212803</v>
      </c>
      <c r="Y12" s="176"/>
      <c r="Z12" s="170">
        <f>'INN Income Splits'!O11</f>
        <v>350007.61600000021</v>
      </c>
      <c r="AA12" s="175">
        <f t="shared" si="7"/>
        <v>0.30555153351182646</v>
      </c>
      <c r="AB12" s="176"/>
      <c r="AC12" s="170">
        <f>'INN Income Splits'!O30</f>
        <v>655924.42260869581</v>
      </c>
      <c r="AD12" s="175">
        <f t="shared" si="8"/>
        <v>0.41715104342731529</v>
      </c>
      <c r="AE12" s="176"/>
      <c r="AF12" s="170">
        <f>'INN Income Splits'!O48</f>
        <v>141648.43500000003</v>
      </c>
      <c r="AG12" s="173">
        <f t="shared" si="9"/>
        <v>0.15552572810331686</v>
      </c>
      <c r="AH12" s="176"/>
      <c r="AI12" s="170">
        <f>'INN Income Splits'!O66</f>
        <v>620242.70947368431</v>
      </c>
      <c r="AJ12" s="176">
        <f t="shared" si="10"/>
        <v>0.35527749367102257</v>
      </c>
      <c r="AK12" s="176"/>
      <c r="AL12" s="253">
        <f>'INN Income Splits'!O84</f>
        <v>342084.29250000021</v>
      </c>
      <c r="AM12" s="176">
        <f t="shared" ref="AM12:AM13" si="24">AL12/$AL$14</f>
        <v>0.28266914244129193</v>
      </c>
      <c r="AN12" s="176"/>
      <c r="AO12" s="253">
        <f>'INN Income Splits'!O102</f>
        <v>393708.89187499986</v>
      </c>
      <c r="AP12" s="176">
        <f t="shared" si="11"/>
        <v>0.43335935428720174</v>
      </c>
      <c r="AQ12" s="176"/>
      <c r="AR12" s="170">
        <f>'INN Income Splits'!X11</f>
        <v>2436495.6974999993</v>
      </c>
      <c r="AS12" s="175">
        <f t="shared" si="12"/>
        <v>0.84364107391079346</v>
      </c>
      <c r="AT12" s="176"/>
      <c r="AU12" s="170">
        <f>'INN Income Splits'!X30</f>
        <v>134388.02888888889</v>
      </c>
      <c r="AV12" s="175">
        <f t="shared" si="13"/>
        <v>0.36355253438076246</v>
      </c>
      <c r="AW12" s="176"/>
      <c r="AX12" s="170">
        <f>'INN Income Splits'!X48</f>
        <v>96328.181250000009</v>
      </c>
      <c r="AY12" s="173">
        <f t="shared" si="14"/>
        <v>0.14001500887342613</v>
      </c>
      <c r="AZ12" s="176"/>
      <c r="BA12" s="253">
        <f>'INN Income Splits'!X66</f>
        <v>1018410.0718181821</v>
      </c>
      <c r="BB12" s="176">
        <f t="shared" si="15"/>
        <v>0.62505423155088735</v>
      </c>
      <c r="BC12" s="176"/>
      <c r="BD12" s="253">
        <f>'INN Income Splits'!X84</f>
        <v>79520.618333333332</v>
      </c>
      <c r="BE12" s="176">
        <f t="shared" si="16"/>
        <v>0.22187702050095137</v>
      </c>
      <c r="BF12" s="176"/>
      <c r="BG12" s="253">
        <f>'INN Income Splits'!X102</f>
        <v>11616.5</v>
      </c>
      <c r="BH12" s="176">
        <f t="shared" si="17"/>
        <v>4.9083422593205264E-2</v>
      </c>
      <c r="BI12" s="176"/>
      <c r="BJ12" s="170">
        <f>'INN Income Splits'!AG11</f>
        <v>3362154.1412499999</v>
      </c>
      <c r="BK12" s="175">
        <f t="shared" si="18"/>
        <v>0.39712262476301941</v>
      </c>
      <c r="BL12" s="176"/>
      <c r="BM12" s="170">
        <f>'INN Income Splits'!AG30</f>
        <v>583545.26812499971</v>
      </c>
      <c r="BN12" s="173">
        <f t="shared" si="19"/>
        <v>0.25581864784830044</v>
      </c>
      <c r="BO12" s="176"/>
      <c r="BP12" s="170">
        <f>'INN Income Splits'!AG48</f>
        <v>1641286.1015000003</v>
      </c>
      <c r="BQ12" s="175">
        <f t="shared" si="20"/>
        <v>0.47481198830462995</v>
      </c>
      <c r="BR12" s="176"/>
      <c r="BS12" s="253">
        <f>'INN Income Splits'!AG66</f>
        <v>627342.51304347813</v>
      </c>
      <c r="BT12" s="176">
        <f t="shared" si="21"/>
        <v>0.32710942547827809</v>
      </c>
      <c r="BU12" s="176"/>
      <c r="BV12" s="253">
        <f>'INN Income Splits'!AG84</f>
        <v>2290264.1953846146</v>
      </c>
      <c r="BW12" s="176">
        <f t="shared" si="22"/>
        <v>0.40065398528160867</v>
      </c>
      <c r="BX12" s="176"/>
      <c r="BY12" s="253">
        <f>'INN Income Splits'!AG102</f>
        <v>3107170.8887500009</v>
      </c>
      <c r="BZ12" s="176">
        <f t="shared" si="23"/>
        <v>0.45558902486169273</v>
      </c>
      <c r="CA12" s="176"/>
      <c r="CB12" s="177"/>
      <c r="CC12" s="175"/>
      <c r="CD12" s="176"/>
      <c r="CE12" s="170">
        <f>'INN Income Splits'!AM48</f>
        <v>0</v>
      </c>
      <c r="CF12" s="175"/>
      <c r="CG12" s="176"/>
      <c r="CH12" s="170"/>
      <c r="CI12" s="175"/>
      <c r="CJ12" s="176"/>
      <c r="CK12" s="170"/>
      <c r="CL12" s="175"/>
      <c r="CM12" s="176"/>
      <c r="CN12" s="170"/>
      <c r="CO12" s="175"/>
      <c r="CP12" s="176"/>
    </row>
    <row r="13" spans="1:94" x14ac:dyDescent="0.2">
      <c r="A13" s="134">
        <f t="shared" si="0"/>
        <v>8</v>
      </c>
      <c r="B13" s="168"/>
      <c r="C13" s="178"/>
      <c r="D13" s="178" t="s">
        <v>248</v>
      </c>
      <c r="E13" s="179"/>
      <c r="F13" s="180"/>
      <c r="G13" s="176"/>
      <c r="H13" s="181">
        <f>'INN Income Splits'!F12</f>
        <v>41015.649999999951</v>
      </c>
      <c r="I13" s="180">
        <f t="shared" si="1"/>
        <v>8.7250838239480821E-2</v>
      </c>
      <c r="J13" s="176"/>
      <c r="K13" s="181">
        <f>'INN Income Splits'!F31</f>
        <v>44466.666666666657</v>
      </c>
      <c r="L13" s="180">
        <f t="shared" si="2"/>
        <v>6.30770688355929E-2</v>
      </c>
      <c r="N13" s="181">
        <f>'INN Income Splits'!F49</f>
        <v>124619.33333333334</v>
      </c>
      <c r="O13" s="182">
        <f t="shared" si="3"/>
        <v>0.27174222116758467</v>
      </c>
      <c r="P13" s="176"/>
      <c r="Q13" s="181">
        <f>'INN Income Splits'!F67</f>
        <v>68657.25</v>
      </c>
      <c r="R13" s="182">
        <f t="shared" si="4"/>
        <v>0.15987306350173711</v>
      </c>
      <c r="S13" s="176"/>
      <c r="T13" s="181">
        <f>'INN Income Splits'!F85</f>
        <v>63163.574999999968</v>
      </c>
      <c r="U13" s="182">
        <f t="shared" si="5"/>
        <v>0.14323534812100419</v>
      </c>
      <c r="V13" s="176"/>
      <c r="W13" s="181">
        <f>'INN Income Splits'!F103</f>
        <v>30702.75</v>
      </c>
      <c r="X13" s="182">
        <f t="shared" si="6"/>
        <v>4.6163207337327622E-2</v>
      </c>
      <c r="Y13" s="176"/>
      <c r="Z13" s="181">
        <f>'INN Income Splits'!O12</f>
        <v>50107.925000000025</v>
      </c>
      <c r="AA13" s="180">
        <f t="shared" si="7"/>
        <v>4.3743486212727389E-2</v>
      </c>
      <c r="AB13" s="176"/>
      <c r="AC13" s="181">
        <f>'INN Income Splits'!O31</f>
        <v>45386.371249999982</v>
      </c>
      <c r="AD13" s="180">
        <f t="shared" si="8"/>
        <v>2.8864563464519481E-2</v>
      </c>
      <c r="AE13" s="176"/>
      <c r="AF13" s="181">
        <f>'INN Income Splits'!O49</f>
        <v>0</v>
      </c>
      <c r="AG13" s="180">
        <f t="shared" si="9"/>
        <v>0</v>
      </c>
      <c r="AH13" s="176"/>
      <c r="AI13" s="181">
        <f>'INN Income Splits'!O67</f>
        <v>23375</v>
      </c>
      <c r="AJ13" s="182">
        <f t="shared" si="10"/>
        <v>1.3389293074653223E-2</v>
      </c>
      <c r="AK13" s="176"/>
      <c r="AL13" s="181">
        <f>'INN Income Splits'!O85</f>
        <v>40813.242500000022</v>
      </c>
      <c r="AM13" s="182">
        <f t="shared" si="24"/>
        <v>3.3724565876474696E-2</v>
      </c>
      <c r="AN13" s="176"/>
      <c r="AO13" s="181">
        <f>'INN Income Splits'!O103</f>
        <v>56716.943749999984</v>
      </c>
      <c r="AP13" s="182">
        <f t="shared" si="11"/>
        <v>6.2428912904631984E-2</v>
      </c>
      <c r="AQ13" s="176"/>
      <c r="AR13" s="181">
        <f>'INN Income Splits'!X12</f>
        <v>277943</v>
      </c>
      <c r="AS13" s="180">
        <f t="shared" si="12"/>
        <v>9.6238270088711192E-2</v>
      </c>
      <c r="AT13" s="176"/>
      <c r="AU13" s="181">
        <f>'INN Income Splits'!X31</f>
        <v>0</v>
      </c>
      <c r="AV13" s="180">
        <f t="shared" si="13"/>
        <v>0</v>
      </c>
      <c r="AW13" s="176"/>
      <c r="AX13" s="181">
        <f>'INN Income Splits'!X49</f>
        <v>3000</v>
      </c>
      <c r="AY13" s="180">
        <f t="shared" si="14"/>
        <v>4.360562206921958E-3</v>
      </c>
      <c r="AZ13" s="176"/>
      <c r="BA13" s="181">
        <f>'INN Income Splits'!X67</f>
        <v>277943</v>
      </c>
      <c r="BB13" s="182">
        <f t="shared" si="15"/>
        <v>0.17058889448116574</v>
      </c>
      <c r="BC13" s="176"/>
      <c r="BD13" s="181">
        <f>'INN Income Splits'!X85</f>
        <v>0</v>
      </c>
      <c r="BE13" s="182">
        <f t="shared" si="16"/>
        <v>0</v>
      </c>
      <c r="BF13" s="176"/>
      <c r="BG13" s="181">
        <f>'INN Income Splits'!X103</f>
        <v>3000</v>
      </c>
      <c r="BH13" s="182">
        <f t="shared" si="17"/>
        <v>1.2675958143986208E-2</v>
      </c>
      <c r="BI13" s="176"/>
      <c r="BJ13" s="181">
        <f>'INN Income Splits'!AG12</f>
        <v>527878.20000000007</v>
      </c>
      <c r="BK13" s="180">
        <f t="shared" si="18"/>
        <v>6.2350614377614431E-2</v>
      </c>
      <c r="BL13" s="176"/>
      <c r="BM13" s="181">
        <f>'INN Income Splits'!AG31</f>
        <v>194819.39999999994</v>
      </c>
      <c r="BN13" s="180">
        <f t="shared" si="19"/>
        <v>8.5406288432007996E-2</v>
      </c>
      <c r="BO13" s="176"/>
      <c r="BP13" s="181">
        <f>'INN Income Splits'!AG49</f>
        <v>97768.75</v>
      </c>
      <c r="BQ13" s="180">
        <f t="shared" si="20"/>
        <v>2.8283779737812077E-2</v>
      </c>
      <c r="BR13" s="176"/>
      <c r="BS13" s="181">
        <f>'INN Income Splits'!AG67</f>
        <v>226676.27272727274</v>
      </c>
      <c r="BT13" s="182">
        <f t="shared" si="21"/>
        <v>0.1181937200169261</v>
      </c>
      <c r="BU13" s="176"/>
      <c r="BV13" s="181">
        <f>'INN Income Splits'!AG85</f>
        <v>174500</v>
      </c>
      <c r="BW13" s="182">
        <f t="shared" si="22"/>
        <v>3.0526661759168666E-2</v>
      </c>
      <c r="BX13" s="176"/>
      <c r="BY13" s="181">
        <f>'INN Income Splits'!AG103</f>
        <v>401399.66666666663</v>
      </c>
      <c r="BZ13" s="182">
        <f t="shared" si="23"/>
        <v>5.8855238177789489E-2</v>
      </c>
      <c r="CA13" s="176"/>
      <c r="CB13" s="183"/>
      <c r="CC13" s="180"/>
      <c r="CD13" s="176"/>
      <c r="CE13" s="181">
        <f>'INN Income Splits'!AM49</f>
        <v>0</v>
      </c>
      <c r="CF13" s="180"/>
      <c r="CG13" s="176"/>
      <c r="CH13" s="181"/>
      <c r="CI13" s="180"/>
      <c r="CJ13" s="176"/>
      <c r="CK13" s="181"/>
      <c r="CL13" s="180"/>
      <c r="CM13" s="176"/>
      <c r="CN13" s="181"/>
      <c r="CO13" s="180"/>
      <c r="CP13" s="176"/>
    </row>
    <row r="14" spans="1:94" x14ac:dyDescent="0.2">
      <c r="A14" s="134">
        <f t="shared" si="0"/>
        <v>9</v>
      </c>
      <c r="B14" s="168"/>
      <c r="C14" s="133"/>
      <c r="D14" s="133" t="s">
        <v>249</v>
      </c>
      <c r="E14" s="184"/>
      <c r="F14" s="185"/>
      <c r="G14" s="186"/>
      <c r="H14" s="191">
        <f>SUM(H10:H13)</f>
        <v>470088.89344332344</v>
      </c>
      <c r="I14" s="185">
        <f>SUM(I10:I13)</f>
        <v>1</v>
      </c>
      <c r="J14" s="186"/>
      <c r="K14" s="170">
        <f>SUM(K10:K13)</f>
        <v>704957.72057142842</v>
      </c>
      <c r="L14" s="173">
        <f>SUM(L10:L13)</f>
        <v>1</v>
      </c>
      <c r="N14" s="170">
        <f>SUM(N10:N13)</f>
        <v>458593.93066666671</v>
      </c>
      <c r="O14" s="187">
        <f>SUM(O10:O13)</f>
        <v>1</v>
      </c>
      <c r="P14" s="187"/>
      <c r="Q14" s="170">
        <f>SUM(Q10:Q13)</f>
        <v>429448.51681818184</v>
      </c>
      <c r="R14" s="187">
        <f>SUM(R10:R13)</f>
        <v>1</v>
      </c>
      <c r="S14" s="187"/>
      <c r="T14" s="170">
        <f>SUM(T10:T13)</f>
        <v>440977.56474637694</v>
      </c>
      <c r="U14" s="187">
        <f>SUM(U10:U13)</f>
        <v>1</v>
      </c>
      <c r="V14" s="187"/>
      <c r="W14" s="170">
        <f>SUM(W10:W13)</f>
        <v>665091.35241939139</v>
      </c>
      <c r="X14" s="187">
        <f>SUM(X10:X13)</f>
        <v>0.99999999999999989</v>
      </c>
      <c r="Y14" s="187"/>
      <c r="Z14" s="170">
        <f>SUM(Z10:Z13)</f>
        <v>1145494.5487500003</v>
      </c>
      <c r="AA14" s="173">
        <f>SUM(AA10:AA13)</f>
        <v>1</v>
      </c>
      <c r="AB14" s="187"/>
      <c r="AC14" s="170">
        <f>SUM(AC10:AC13)</f>
        <v>1572390.7034239136</v>
      </c>
      <c r="AD14" s="188">
        <f>SUM(AD10:AD13)</f>
        <v>1</v>
      </c>
      <c r="AE14" s="187"/>
      <c r="AF14" s="170">
        <f>SUM(AF10:AF13)</f>
        <v>910771.72071428562</v>
      </c>
      <c r="AG14" s="173">
        <f>SUM(AG10:AG13)</f>
        <v>0.99999999999999989</v>
      </c>
      <c r="AH14" s="187"/>
      <c r="AI14" s="170">
        <f>SUM(AI10:AI13)</f>
        <v>1745797.92</v>
      </c>
      <c r="AJ14" s="173">
        <f>SUM(AJ10:AJ13)</f>
        <v>1.0000000000000002</v>
      </c>
      <c r="AK14" s="187"/>
      <c r="AL14" s="170">
        <f>SUM(AL10:AL13)</f>
        <v>1210193.2653333333</v>
      </c>
      <c r="AM14" s="173">
        <f>SUM(AM10:AM13)</f>
        <v>1</v>
      </c>
      <c r="AN14" s="187"/>
      <c r="AO14" s="170">
        <f>SUM(AO10:AO13)</f>
        <v>908504.42705357133</v>
      </c>
      <c r="AP14" s="173">
        <f>SUM(AP10:AP13)</f>
        <v>1</v>
      </c>
      <c r="AQ14" s="187"/>
      <c r="AR14" s="170">
        <f>SUM(AR10:AR13)</f>
        <v>2888071.4474999993</v>
      </c>
      <c r="AS14" s="188">
        <f>SUM(AS10:AS13)</f>
        <v>1</v>
      </c>
      <c r="AT14" s="187"/>
      <c r="AU14" s="170">
        <f>SUM(AU10:AU13)</f>
        <v>369652.29555555561</v>
      </c>
      <c r="AV14" s="188">
        <f>SUM(AV10:AV13)</f>
        <v>1</v>
      </c>
      <c r="AW14" s="187"/>
      <c r="AX14" s="170">
        <f>SUM(AX10:AX13)</f>
        <v>687984.68125000002</v>
      </c>
      <c r="AY14" s="188">
        <f>SUM(AY10:AY13)</f>
        <v>0.99999999999999989</v>
      </c>
      <c r="AZ14" s="187"/>
      <c r="BA14" s="170">
        <f>SUM(BA10:BA13)</f>
        <v>1629314.7384848488</v>
      </c>
      <c r="BB14" s="188">
        <f>SUM(BB10:BB13)</f>
        <v>1</v>
      </c>
      <c r="BC14" s="187"/>
      <c r="BD14" s="170">
        <f>SUM(BD10:BD13)</f>
        <v>358399.52309523808</v>
      </c>
      <c r="BE14" s="188">
        <f>SUM(BE10:BE13)</f>
        <v>0.99999999999999989</v>
      </c>
      <c r="BF14" s="187"/>
      <c r="BG14" s="170">
        <f>SUM(BG10:BG13)</f>
        <v>236668.5</v>
      </c>
      <c r="BH14" s="188">
        <f>SUM(BH10:BH13)</f>
        <v>1</v>
      </c>
      <c r="BI14" s="187"/>
      <c r="BJ14" s="170">
        <f>SUM(BJ10:BJ13)</f>
        <v>8466287.0649999995</v>
      </c>
      <c r="BK14" s="188">
        <f>SUM(BK10:BK13)</f>
        <v>1</v>
      </c>
      <c r="BL14" s="187"/>
      <c r="BM14" s="170">
        <f>SUM(BM10:BM13)</f>
        <v>2281089.6431249999</v>
      </c>
      <c r="BN14" s="188">
        <f>SUM(BN10:BN13)</f>
        <v>0.99999999999999989</v>
      </c>
      <c r="BO14" s="187"/>
      <c r="BP14" s="170">
        <f>SUM(BP10:BP13)</f>
        <v>3456707.3745555552</v>
      </c>
      <c r="BQ14" s="188">
        <f>SUM(BQ10:BQ13)</f>
        <v>1.0000000000000002</v>
      </c>
      <c r="BR14" s="187"/>
      <c r="BS14" s="170">
        <f>SUM(BS10:BS13)</f>
        <v>1917836.8588010534</v>
      </c>
      <c r="BT14" s="188">
        <f>SUM(BT10:BT13)</f>
        <v>1</v>
      </c>
      <c r="BU14" s="187"/>
      <c r="BV14" s="170">
        <f>SUM(BV10:BV13)</f>
        <v>5716314.5245512808</v>
      </c>
      <c r="BW14" s="188">
        <f>SUM(BW10:BW13)</f>
        <v>1</v>
      </c>
      <c r="BX14" s="187"/>
      <c r="BY14" s="170">
        <f>SUM(BY10:BY13)</f>
        <v>6820117.9554166673</v>
      </c>
      <c r="BZ14" s="188">
        <f>SUM(BZ10:BZ13)</f>
        <v>1</v>
      </c>
      <c r="CA14" s="187"/>
      <c r="CB14" s="170">
        <f>'Hub Data'!D4</f>
        <v>1142108</v>
      </c>
      <c r="CC14" s="188">
        <f>SUM(CC10:CC13)</f>
        <v>0</v>
      </c>
      <c r="CD14" s="187"/>
      <c r="CE14" s="170">
        <f>AVERAGE('Hub Data'!D2,'Hub Data'!D3)</f>
        <v>838500</v>
      </c>
      <c r="CF14" s="188">
        <f>SUM(CF10:CF13)</f>
        <v>0</v>
      </c>
      <c r="CG14" s="187"/>
      <c r="CH14" s="170"/>
      <c r="CI14" s="188"/>
      <c r="CJ14" s="187"/>
      <c r="CK14" s="170"/>
      <c r="CL14" s="188"/>
      <c r="CM14" s="187"/>
      <c r="CN14" s="170"/>
      <c r="CO14" s="188"/>
      <c r="CP14" s="187"/>
    </row>
    <row r="15" spans="1:94" x14ac:dyDescent="0.2">
      <c r="A15" s="134">
        <f t="shared" si="0"/>
        <v>10</v>
      </c>
      <c r="B15" s="168"/>
      <c r="C15" s="133" t="s">
        <v>250</v>
      </c>
      <c r="D15" s="133"/>
      <c r="E15" s="184"/>
      <c r="F15" s="189"/>
      <c r="H15" s="191"/>
      <c r="I15" s="189"/>
      <c r="L15" s="173"/>
      <c r="N15" s="170"/>
      <c r="O15" s="164"/>
      <c r="P15" s="176"/>
      <c r="Q15" s="170"/>
      <c r="R15" s="164"/>
      <c r="S15" s="176"/>
      <c r="T15" s="170"/>
      <c r="U15" s="164"/>
      <c r="V15" s="176"/>
      <c r="W15" s="170"/>
      <c r="X15" s="164"/>
      <c r="Y15" s="176"/>
      <c r="Z15" s="170"/>
      <c r="AA15" s="173"/>
      <c r="AB15" s="176"/>
      <c r="AC15" s="170"/>
      <c r="AD15" s="173"/>
      <c r="AE15" s="176"/>
      <c r="AF15" s="170"/>
      <c r="AG15" s="173"/>
      <c r="AH15" s="176"/>
      <c r="AI15" s="170"/>
      <c r="AJ15" s="164"/>
      <c r="AK15" s="176"/>
      <c r="AL15" s="170"/>
      <c r="AM15" s="164"/>
      <c r="AN15" s="176"/>
      <c r="AO15" s="170"/>
      <c r="AP15" s="164"/>
      <c r="AQ15" s="176"/>
      <c r="AR15" s="170"/>
      <c r="AS15" s="173"/>
      <c r="AT15" s="176"/>
      <c r="AU15" s="170"/>
      <c r="AV15" s="173"/>
      <c r="AW15" s="176"/>
      <c r="AX15" s="170"/>
      <c r="AY15" s="173"/>
      <c r="AZ15" s="176"/>
      <c r="BA15" s="170"/>
      <c r="BB15" s="164"/>
      <c r="BC15" s="176"/>
      <c r="BD15" s="170"/>
      <c r="BE15" s="164"/>
      <c r="BF15" s="176"/>
      <c r="BG15" s="170"/>
      <c r="BH15" s="164"/>
      <c r="BI15" s="176"/>
      <c r="BJ15" s="170"/>
      <c r="BK15" s="173"/>
      <c r="BL15" s="176"/>
      <c r="BM15" s="170"/>
      <c r="BN15" s="173"/>
      <c r="BO15" s="176"/>
      <c r="BP15" s="170"/>
      <c r="BQ15" s="173"/>
      <c r="BR15" s="176"/>
      <c r="BS15" s="170"/>
      <c r="BT15" s="164"/>
      <c r="BU15" s="176"/>
      <c r="BV15" s="170"/>
      <c r="BW15" s="164"/>
      <c r="BX15" s="176"/>
      <c r="BY15" s="170"/>
      <c r="BZ15" s="164"/>
      <c r="CA15" s="176"/>
      <c r="CB15" s="170"/>
      <c r="CC15" s="173"/>
      <c r="CD15" s="176"/>
      <c r="CE15" s="170"/>
      <c r="CF15" s="173"/>
      <c r="CG15" s="176"/>
      <c r="CH15" s="170"/>
      <c r="CI15" s="173"/>
      <c r="CJ15" s="176"/>
      <c r="CK15" s="170"/>
      <c r="CL15" s="173"/>
      <c r="CM15" s="176"/>
      <c r="CN15" s="170"/>
      <c r="CO15" s="173"/>
      <c r="CP15" s="176"/>
    </row>
    <row r="16" spans="1:94" x14ac:dyDescent="0.2">
      <c r="A16" s="134">
        <f t="shared" si="0"/>
        <v>11</v>
      </c>
      <c r="B16" s="171"/>
      <c r="C16" s="133"/>
      <c r="D16" s="133" t="s">
        <v>137</v>
      </c>
      <c r="E16" s="174"/>
      <c r="F16" s="175"/>
      <c r="G16" s="176"/>
      <c r="H16" s="253">
        <f>'INN Income Splits'!F15</f>
        <v>173323.45733333362</v>
      </c>
      <c r="I16" s="175">
        <f>H16/H$22</f>
        <v>0.43082906948389926</v>
      </c>
      <c r="J16" s="176"/>
      <c r="K16" s="170">
        <f>'INN Income Splits'!F34</f>
        <v>15814.78000000001</v>
      </c>
      <c r="L16" s="175">
        <f>K16/$K$22</f>
        <v>4.1080215035302937E-2</v>
      </c>
      <c r="N16" s="170">
        <f>'INN Income Splits'!F52</f>
        <v>55087</v>
      </c>
      <c r="O16" s="176">
        <f>N16/$N$22</f>
        <v>0.19073522137169335</v>
      </c>
      <c r="P16" s="176"/>
      <c r="Q16" s="253">
        <f>'INN Income Splits'!F70</f>
        <v>166293.03076923077</v>
      </c>
      <c r="R16" s="176">
        <f>Q16/$Q$22</f>
        <v>0.45852560371571643</v>
      </c>
      <c r="S16" s="176"/>
      <c r="T16" s="253">
        <f>'INN Income Splits'!F88</f>
        <v>151903.875</v>
      </c>
      <c r="U16" s="176">
        <f>T16/$T$22</f>
        <v>0.5674889432294844</v>
      </c>
      <c r="V16" s="176"/>
      <c r="W16" s="253">
        <f>'INN Income Splits'!F106</f>
        <v>115711.83333333339</v>
      </c>
      <c r="X16" s="176">
        <f>W16/$W$22</f>
        <v>0.25096597575384388</v>
      </c>
      <c r="Y16" s="176"/>
      <c r="Z16" s="170">
        <f>'INN Income Splits'!O15</f>
        <v>743481.60000000009</v>
      </c>
      <c r="AA16" s="175">
        <f>Z16/$Z$22</f>
        <v>0.30568768814141245</v>
      </c>
      <c r="AB16" s="176"/>
      <c r="AC16" s="170">
        <f>'INN Income Splits'!O34</f>
        <v>74800.399999999965</v>
      </c>
      <c r="AD16" s="173">
        <f>AC16/$AC$22</f>
        <v>0.10873907327423774</v>
      </c>
      <c r="AE16" s="176"/>
      <c r="AF16" s="170">
        <f>'INN Income Splits'!O52</f>
        <v>550</v>
      </c>
      <c r="AG16" s="175">
        <f>AF16/$AF$22</f>
        <v>5.3898249708238975E-3</v>
      </c>
      <c r="AH16" s="176"/>
      <c r="AI16" s="170">
        <f>'INN Income Splits'!O70</f>
        <v>64549</v>
      </c>
      <c r="AJ16" s="176">
        <f>AI16/$AI$22</f>
        <v>0.17533951747331084</v>
      </c>
      <c r="AK16" s="176"/>
      <c r="AL16" s="253">
        <f>'INN Income Splits'!O88</f>
        <v>501305</v>
      </c>
      <c r="AM16" s="176">
        <f>AL16/$AL$22</f>
        <v>0.15600998914559322</v>
      </c>
      <c r="AN16" s="176"/>
      <c r="AO16" s="253">
        <f>'INN Income Splits'!O106</f>
        <v>471950.66666666674</v>
      </c>
      <c r="AP16" s="176">
        <f>AO16/$AO$22</f>
        <v>0.42073972948862903</v>
      </c>
      <c r="AQ16" s="176"/>
      <c r="AR16" s="170">
        <f>'INN Income Splits'!X15</f>
        <v>108384</v>
      </c>
      <c r="AS16" s="173">
        <f>AR16/$AR$22</f>
        <v>5.7103252283742849E-2</v>
      </c>
      <c r="AT16" s="176"/>
      <c r="AU16" s="170">
        <f>'INN Income Splits'!X34</f>
        <v>109112.5</v>
      </c>
      <c r="AV16" s="175">
        <f>AU16/$AU$22</f>
        <v>0.20552822016187342</v>
      </c>
      <c r="AW16" s="176"/>
      <c r="AX16" s="170">
        <f>'INN Income Splits'!X52</f>
        <v>15702.666666666668</v>
      </c>
      <c r="AY16" s="173">
        <f>AX16/$AX$22</f>
        <v>0.19421454382793288</v>
      </c>
      <c r="AZ16" s="176"/>
      <c r="BA16" s="253">
        <f>'INN Income Splits'!X70</f>
        <v>62286.166666666657</v>
      </c>
      <c r="BB16" s="176">
        <f>BA16/$BA$22</f>
        <v>4.6645596513998758E-2</v>
      </c>
      <c r="BC16" s="176"/>
      <c r="BD16" s="253">
        <f>'INN Income Splits'!X88</f>
        <v>0</v>
      </c>
      <c r="BE16" s="176">
        <f>BD16/$BD$22</f>
        <v>0</v>
      </c>
      <c r="BF16" s="176"/>
      <c r="BG16" s="253">
        <f>'INN Income Splits'!X106</f>
        <v>0</v>
      </c>
      <c r="BH16" s="176">
        <f>BG16/$BG$22</f>
        <v>0</v>
      </c>
      <c r="BI16" s="176"/>
      <c r="BJ16" s="170">
        <f>'INN Income Splits'!AG15</f>
        <v>112745.56499999997</v>
      </c>
      <c r="BK16" s="175">
        <f>BJ16/$BJ$22</f>
        <v>0.28097473400313333</v>
      </c>
      <c r="BL16" s="176"/>
      <c r="BM16" s="170">
        <f>'INN Income Splits'!AG34</f>
        <v>180099.76250000007</v>
      </c>
      <c r="BN16" s="175">
        <f>BM16/$BM$22</f>
        <v>0.1836547623787686</v>
      </c>
      <c r="BO16" s="176"/>
      <c r="BP16" s="170">
        <f>'INN Income Splits'!AG52</f>
        <v>77198.870000000024</v>
      </c>
      <c r="BQ16" s="175">
        <f>BP16/$BP$22</f>
        <v>0.17153083876088782</v>
      </c>
      <c r="BR16" s="176"/>
      <c r="BS16" s="253">
        <f>'INN Income Splits'!AG70</f>
        <v>165261.90799999994</v>
      </c>
      <c r="BT16" s="176">
        <f>BS16/$BS$22</f>
        <v>0.29113510358314254</v>
      </c>
      <c r="BU16" s="176"/>
      <c r="BV16" s="253">
        <f>'INN Income Splits'!AG88</f>
        <v>56713.571428571449</v>
      </c>
      <c r="BW16" s="176">
        <f>BV16/$BV$22</f>
        <v>0.1319948310128839</v>
      </c>
      <c r="BX16" s="176"/>
      <c r="BY16" s="253">
        <f>'INN Income Splits'!AG106</f>
        <v>137049.674</v>
      </c>
      <c r="BZ16" s="176">
        <f>BY16/$BY$22</f>
        <v>0.14164744515623021</v>
      </c>
      <c r="CA16" s="176"/>
      <c r="CB16" s="170"/>
      <c r="CC16" s="175"/>
      <c r="CD16" s="176"/>
      <c r="CE16" s="170"/>
      <c r="CF16" s="175"/>
      <c r="CG16" s="176"/>
      <c r="CH16" s="170"/>
      <c r="CI16" s="175"/>
      <c r="CJ16" s="176"/>
      <c r="CK16" s="170"/>
      <c r="CL16" s="175"/>
      <c r="CM16" s="176"/>
      <c r="CN16" s="170"/>
      <c r="CO16" s="175"/>
      <c r="CP16" s="176"/>
    </row>
    <row r="17" spans="1:94" x14ac:dyDescent="0.2">
      <c r="A17" s="134">
        <f t="shared" si="0"/>
        <v>12</v>
      </c>
      <c r="B17" s="168"/>
      <c r="C17" s="133"/>
      <c r="D17" s="133" t="s">
        <v>138</v>
      </c>
      <c r="E17" s="174"/>
      <c r="F17" s="175"/>
      <c r="G17" s="176"/>
      <c r="H17" s="253">
        <f>'INN Income Splits'!F16</f>
        <v>47006.517857142855</v>
      </c>
      <c r="I17" s="175">
        <f t="shared" ref="I17:I21" si="25">H17/H$22</f>
        <v>0.11684381710158931</v>
      </c>
      <c r="J17" s="176"/>
      <c r="K17" s="170">
        <f>'INN Income Splits'!F35</f>
        <v>35120.166666666657</v>
      </c>
      <c r="L17" s="175">
        <f t="shared" ref="L17:L21" si="26">K17/$K$22</f>
        <v>9.1227573114665117E-2</v>
      </c>
      <c r="N17" s="170">
        <f>'INN Income Splits'!F53</f>
        <v>30058</v>
      </c>
      <c r="O17" s="176">
        <f t="shared" ref="O17:O21" si="27">N17/$N$22</f>
        <v>0.10407390643873073</v>
      </c>
      <c r="P17" s="176"/>
      <c r="Q17" s="253">
        <f>'INN Income Splits'!F71</f>
        <v>28730.857142857152</v>
      </c>
      <c r="R17" s="176">
        <f t="shared" ref="R17:R21" si="28">Q17/$Q$22</f>
        <v>7.9220599659286128E-2</v>
      </c>
      <c r="S17" s="176"/>
      <c r="T17" s="253">
        <f>'INN Income Splits'!F89</f>
        <v>5731.6000000000022</v>
      </c>
      <c r="U17" s="176">
        <f t="shared" ref="U17:U21" si="29">T17/$T$22</f>
        <v>2.1412354536802396E-2</v>
      </c>
      <c r="V17" s="176"/>
      <c r="W17" s="253">
        <f>'INN Income Splits'!F107</f>
        <v>69915.424999999974</v>
      </c>
      <c r="X17" s="176">
        <f t="shared" ref="X17:X21" si="30">W17/$W$22</f>
        <v>0.15163870755399267</v>
      </c>
      <c r="Y17" s="176"/>
      <c r="Z17" s="170">
        <f>'INN Income Splits'!O16</f>
        <v>289910.6399999999</v>
      </c>
      <c r="AA17" s="175">
        <f t="shared" ref="AA17:AA21" si="31">Z17/$Z$22</f>
        <v>0.1191987983417441</v>
      </c>
      <c r="AB17" s="176"/>
      <c r="AC17" s="170">
        <f>'INN Income Splits'!O35</f>
        <v>169225.22222222213</v>
      </c>
      <c r="AD17" s="173">
        <f t="shared" ref="AD17:AD21" si="32">AC17/$AC$22</f>
        <v>0.24600662348157742</v>
      </c>
      <c r="AE17" s="176"/>
      <c r="AF17" s="170">
        <f>'INN Income Splits'!O53</f>
        <v>22770</v>
      </c>
      <c r="AG17" s="175">
        <f t="shared" ref="AG17:AG21" si="33">AF17/$AF$22</f>
        <v>0.22313875379210935</v>
      </c>
      <c r="AH17" s="176"/>
      <c r="AI17" s="170">
        <f>'INN Income Splits'!O71</f>
        <v>104800.00444444449</v>
      </c>
      <c r="AJ17" s="176">
        <f t="shared" ref="AJ17:AJ21" si="34">AI17/$AI$22</f>
        <v>0.28467648159521802</v>
      </c>
      <c r="AK17" s="176"/>
      <c r="AL17" s="253">
        <f>'INN Income Splits'!O89</f>
        <v>258030</v>
      </c>
      <c r="AM17" s="176">
        <f t="shared" ref="AM17:AM21" si="35">AL17/$AL$22</f>
        <v>8.0300929572291152E-2</v>
      </c>
      <c r="AN17" s="176"/>
      <c r="AO17" s="253">
        <f>'INN Income Splits'!O107</f>
        <v>315529.25</v>
      </c>
      <c r="AP17" s="176">
        <f t="shared" ref="AP17:AP21" si="36">AO17/$AO$22</f>
        <v>0.28129145833904245</v>
      </c>
      <c r="AQ17" s="176"/>
      <c r="AR17" s="170">
        <f>'INN Income Splits'!X16</f>
        <v>646976</v>
      </c>
      <c r="AS17" s="173">
        <f t="shared" ref="AS17:AS21" si="37">AR17/$AR$22</f>
        <v>0.34086612184018689</v>
      </c>
      <c r="AT17" s="176"/>
      <c r="AU17" s="170">
        <f>'INN Income Splits'!X35</f>
        <v>94579</v>
      </c>
      <c r="AV17" s="175">
        <f t="shared" ref="AV17:AV21" si="38">AU17/$AU$22</f>
        <v>0.17815239807253822</v>
      </c>
      <c r="AW17" s="176"/>
      <c r="AX17" s="170">
        <f>'INN Income Splits'!X53</f>
        <v>0</v>
      </c>
      <c r="AY17" s="173">
        <f t="shared" ref="AY17:AY21" si="39">AX17/$AX$22</f>
        <v>0</v>
      </c>
      <c r="AZ17" s="176"/>
      <c r="BA17" s="253">
        <f>'INN Income Splits'!X71</f>
        <v>536496.59999999986</v>
      </c>
      <c r="BB17" s="176">
        <f t="shared" ref="BB17:BB21" si="40">BA17/$BA$22</f>
        <v>0.40177787900575329</v>
      </c>
      <c r="BC17" s="176"/>
      <c r="BD17" s="253">
        <f>'INN Income Splits'!X89</f>
        <v>0</v>
      </c>
      <c r="BE17" s="176">
        <f t="shared" ref="BE17:BE21" si="41">BD17/$BD$22</f>
        <v>0</v>
      </c>
      <c r="BF17" s="176"/>
      <c r="BG17" s="253">
        <f>'INN Income Splits'!X107</f>
        <v>0</v>
      </c>
      <c r="BH17" s="176">
        <f t="shared" ref="BH17:BH21" si="42">BG17/$BG$22</f>
        <v>0</v>
      </c>
      <c r="BI17" s="176"/>
      <c r="BJ17" s="170">
        <f>'INN Income Splits'!AG16</f>
        <v>54250</v>
      </c>
      <c r="BK17" s="175">
        <f t="shared" ref="BK17:BK21" si="43">BJ17/$BJ$22</f>
        <v>0.13519715227530224</v>
      </c>
      <c r="BL17" s="176"/>
      <c r="BM17" s="170">
        <f>'INN Income Splits'!AG35</f>
        <v>209370.3333333334</v>
      </c>
      <c r="BN17" s="175">
        <f t="shared" ref="BN17:BN21" si="44">BM17/$BM$22</f>
        <v>0.21350310674339121</v>
      </c>
      <c r="BO17" s="176"/>
      <c r="BP17" s="170">
        <f>'INN Income Splits'!AG53</f>
        <v>205768.83333333337</v>
      </c>
      <c r="BQ17" s="175">
        <f t="shared" ref="BQ17:BQ21" si="45">BP17/$BP$22</f>
        <v>0.45720488619219418</v>
      </c>
      <c r="BR17" s="176"/>
      <c r="BS17" s="253">
        <f>'INN Income Splits'!AG71</f>
        <v>25975</v>
      </c>
      <c r="BT17" s="176">
        <f t="shared" ref="BT17:BT21" si="46">BS17/$BS$22</f>
        <v>4.5759088752455469E-2</v>
      </c>
      <c r="BU17" s="176"/>
      <c r="BV17" s="253">
        <f>'INN Income Splits'!AG89</f>
        <v>164065.25</v>
      </c>
      <c r="BW17" s="176">
        <f t="shared" ref="BW17:BW21" si="47">BV17/$BV$22</f>
        <v>0.38184449336101411</v>
      </c>
      <c r="BX17" s="176"/>
      <c r="BY17" s="253">
        <f>'INN Income Splits'!AG107</f>
        <v>403687.66666666663</v>
      </c>
      <c r="BZ17" s="176">
        <f t="shared" ref="BZ17:BZ21" si="48">BY17/$BY$22</f>
        <v>0.41723066502451661</v>
      </c>
      <c r="CA17" s="176"/>
      <c r="CB17" s="170"/>
      <c r="CC17" s="175"/>
      <c r="CD17" s="176"/>
      <c r="CE17" s="170"/>
      <c r="CF17" s="175"/>
      <c r="CG17" s="176"/>
      <c r="CH17" s="170"/>
      <c r="CI17" s="175"/>
      <c r="CJ17" s="176"/>
      <c r="CK17" s="170"/>
      <c r="CL17" s="175"/>
      <c r="CM17" s="176"/>
      <c r="CN17" s="170"/>
      <c r="CO17" s="175"/>
      <c r="CP17" s="176"/>
    </row>
    <row r="18" spans="1:94" x14ac:dyDescent="0.2">
      <c r="A18" s="134">
        <f t="shared" si="0"/>
        <v>13</v>
      </c>
      <c r="B18" s="171"/>
      <c r="C18" s="133"/>
      <c r="D18" s="133" t="s">
        <v>139</v>
      </c>
      <c r="E18" s="174"/>
      <c r="F18" s="175"/>
      <c r="G18" s="176"/>
      <c r="H18" s="253">
        <f>'INN Income Splits'!F17</f>
        <v>121145.11111111102</v>
      </c>
      <c r="I18" s="175">
        <f t="shared" si="25"/>
        <v>0.30112966989890416</v>
      </c>
      <c r="J18" s="176"/>
      <c r="K18" s="170">
        <f>'INN Income Splits'!F36</f>
        <v>212379</v>
      </c>
      <c r="L18" s="175">
        <f t="shared" si="26"/>
        <v>0.55167223249280717</v>
      </c>
      <c r="N18" s="170">
        <f>'INN Income Splits'!F54</f>
        <v>145925</v>
      </c>
      <c r="O18" s="176">
        <f t="shared" si="27"/>
        <v>0.50525599830566836</v>
      </c>
      <c r="P18" s="176"/>
      <c r="Q18" s="253">
        <f>'INN Income Splits'!F72</f>
        <v>119969.66666666663</v>
      </c>
      <c r="R18" s="176">
        <f t="shared" si="28"/>
        <v>0.33079656785042455</v>
      </c>
      <c r="S18" s="176"/>
      <c r="T18" s="253">
        <f>'INN Income Splits'!F90</f>
        <v>11781.5</v>
      </c>
      <c r="U18" s="176">
        <f t="shared" si="29"/>
        <v>4.40138277226843E-2</v>
      </c>
      <c r="V18" s="176"/>
      <c r="W18" s="253">
        <f>'INN Income Splits'!F108</f>
        <v>177523</v>
      </c>
      <c r="X18" s="176">
        <f t="shared" si="30"/>
        <v>0.38502745683241507</v>
      </c>
      <c r="Y18" s="176"/>
      <c r="Z18" s="170">
        <f>'INN Income Splits'!O17</f>
        <v>602544</v>
      </c>
      <c r="AA18" s="175">
        <f t="shared" si="31"/>
        <v>0.24774020280189743</v>
      </c>
      <c r="AB18" s="176"/>
      <c r="AC18" s="170">
        <f>'INN Income Splits'!O36</f>
        <v>149874</v>
      </c>
      <c r="AD18" s="173">
        <f t="shared" si="32"/>
        <v>0.21787530371365812</v>
      </c>
      <c r="AE18" s="176"/>
      <c r="AF18" s="170">
        <f>'INN Income Splits'!O54</f>
        <v>0</v>
      </c>
      <c r="AG18" s="175">
        <f t="shared" si="33"/>
        <v>0</v>
      </c>
      <c r="AH18" s="176"/>
      <c r="AI18" s="170">
        <f>'INN Income Splits'!O72</f>
        <v>0</v>
      </c>
      <c r="AJ18" s="176">
        <f t="shared" si="34"/>
        <v>0</v>
      </c>
      <c r="AK18" s="176"/>
      <c r="AL18" s="253">
        <f>'INN Income Splits'!O90</f>
        <v>674937</v>
      </c>
      <c r="AM18" s="176">
        <f t="shared" si="35"/>
        <v>0.21004560904830241</v>
      </c>
      <c r="AN18" s="176"/>
      <c r="AO18" s="253">
        <f>'INN Income Splits'!O108</f>
        <v>5088</v>
      </c>
      <c r="AP18" s="176">
        <f t="shared" si="36"/>
        <v>4.5359057520944508E-3</v>
      </c>
      <c r="AQ18" s="176"/>
      <c r="AR18" s="170">
        <f>'INN Income Splits'!X17</f>
        <v>914811</v>
      </c>
      <c r="AS18" s="173">
        <f t="shared" si="37"/>
        <v>0.48197781337598794</v>
      </c>
      <c r="AT18" s="176"/>
      <c r="AU18" s="170">
        <f>'INN Income Splits'!X36</f>
        <v>240996</v>
      </c>
      <c r="AV18" s="175">
        <f t="shared" si="38"/>
        <v>0.45394871299008677</v>
      </c>
      <c r="AW18" s="176"/>
      <c r="AX18" s="170">
        <f>'INN Income Splits'!X54</f>
        <v>0</v>
      </c>
      <c r="AY18" s="173">
        <f t="shared" si="39"/>
        <v>0</v>
      </c>
      <c r="AZ18" s="176"/>
      <c r="BA18" s="253">
        <f>'INN Income Splits'!X72</f>
        <v>577903.5</v>
      </c>
      <c r="BB18" s="176">
        <f t="shared" si="40"/>
        <v>0.43278716491400204</v>
      </c>
      <c r="BC18" s="176"/>
      <c r="BD18" s="253">
        <f>'INN Income Splits'!X90</f>
        <v>0</v>
      </c>
      <c r="BE18" s="176">
        <f t="shared" si="41"/>
        <v>0</v>
      </c>
      <c r="BF18" s="176"/>
      <c r="BG18" s="253">
        <f>'INN Income Splits'!X108</f>
        <v>0</v>
      </c>
      <c r="BH18" s="176">
        <f t="shared" si="42"/>
        <v>0</v>
      </c>
      <c r="BI18" s="176"/>
      <c r="BJ18" s="170">
        <f>'INN Income Splits'!AG17</f>
        <v>25000</v>
      </c>
      <c r="BK18" s="175">
        <f t="shared" si="43"/>
        <v>6.2302835149908864E-2</v>
      </c>
      <c r="BL18" s="176"/>
      <c r="BM18" s="170">
        <f>'INN Income Splits'!AG36</f>
        <v>289866.16666666669</v>
      </c>
      <c r="BN18" s="175">
        <f t="shared" si="44"/>
        <v>0.29558785209842342</v>
      </c>
      <c r="BO18" s="176"/>
      <c r="BP18" s="170">
        <f>'INN Income Splits'!AG54</f>
        <v>94587.372500000027</v>
      </c>
      <c r="BQ18" s="175">
        <f t="shared" si="45"/>
        <v>0.21016695375351394</v>
      </c>
      <c r="BR18" s="176"/>
      <c r="BS18" s="253">
        <f>'INN Income Splits'!AG72</f>
        <v>217480.43624999997</v>
      </c>
      <c r="BT18" s="176">
        <f t="shared" si="46"/>
        <v>0.38312633625741993</v>
      </c>
      <c r="BU18" s="176"/>
      <c r="BV18" s="253">
        <f>'INN Income Splits'!AG90</f>
        <v>59330</v>
      </c>
      <c r="BW18" s="176">
        <f t="shared" si="47"/>
        <v>0.13808429140911294</v>
      </c>
      <c r="BX18" s="176"/>
      <c r="BY18" s="253">
        <f>'INN Income Splits'!AG108</f>
        <v>171686.5</v>
      </c>
      <c r="BZ18" s="176">
        <f t="shared" si="48"/>
        <v>0.17744627464648413</v>
      </c>
      <c r="CA18" s="176"/>
      <c r="CB18" s="170"/>
      <c r="CC18" s="175"/>
      <c r="CD18" s="176"/>
      <c r="CE18" s="170"/>
      <c r="CF18" s="175"/>
      <c r="CG18" s="176"/>
      <c r="CH18" s="170"/>
      <c r="CI18" s="175"/>
      <c r="CJ18" s="176"/>
      <c r="CK18" s="170"/>
      <c r="CL18" s="175"/>
      <c r="CM18" s="176"/>
      <c r="CN18" s="170"/>
      <c r="CO18" s="175"/>
      <c r="CP18" s="176"/>
    </row>
    <row r="19" spans="1:94" x14ac:dyDescent="0.2">
      <c r="A19" s="134">
        <f t="shared" si="0"/>
        <v>14</v>
      </c>
      <c r="B19" s="168"/>
      <c r="C19" s="133"/>
      <c r="D19" s="133" t="s">
        <v>140</v>
      </c>
      <c r="E19" s="174"/>
      <c r="F19" s="175"/>
      <c r="G19" s="176"/>
      <c r="H19" s="253">
        <f>'INN Income Splits'!F18</f>
        <v>38085.548461538478</v>
      </c>
      <c r="I19" s="175">
        <f t="shared" si="25"/>
        <v>9.4669017436642799E-2</v>
      </c>
      <c r="J19" s="176"/>
      <c r="K19" s="170">
        <f>'INN Income Splits'!F37</f>
        <v>22715</v>
      </c>
      <c r="L19" s="175">
        <f t="shared" si="26"/>
        <v>5.900411415947017E-2</v>
      </c>
      <c r="N19" s="170">
        <f>'INN Income Splits'!F55</f>
        <v>33994.285000000003</v>
      </c>
      <c r="O19" s="176">
        <f t="shared" si="27"/>
        <v>0.11770304200351146</v>
      </c>
      <c r="P19" s="176"/>
      <c r="Q19" s="253">
        <f>'INN Income Splits'!F73</f>
        <v>18363.142500000013</v>
      </c>
      <c r="R19" s="176">
        <f t="shared" si="28"/>
        <v>5.0633336598542439E-2</v>
      </c>
      <c r="S19" s="176"/>
      <c r="T19" s="253">
        <f>'INN Income Splits'!F91</f>
        <v>18553.599999999991</v>
      </c>
      <c r="U19" s="176">
        <f t="shared" si="29"/>
        <v>6.9313326319704202E-2</v>
      </c>
      <c r="V19" s="176"/>
      <c r="W19" s="253">
        <f>'INN Income Splits'!F109</f>
        <v>51669.458888888876</v>
      </c>
      <c r="X19" s="176">
        <f t="shared" si="30"/>
        <v>0.11206525549870104</v>
      </c>
      <c r="Y19" s="176"/>
      <c r="Z19" s="170">
        <f>'INN Income Splits'!O18</f>
        <v>86295.495999999985</v>
      </c>
      <c r="AA19" s="175">
        <f t="shared" si="31"/>
        <v>3.548100002643844E-2</v>
      </c>
      <c r="AB19" s="176"/>
      <c r="AC19" s="170">
        <f>'INN Income Splits'!O37</f>
        <v>229109.72111111123</v>
      </c>
      <c r="AD19" s="173">
        <f t="shared" si="32"/>
        <v>0.33306210597458447</v>
      </c>
      <c r="AE19" s="176"/>
      <c r="AF19" s="170">
        <f>'INN Income Splits'!O55</f>
        <v>0</v>
      </c>
      <c r="AG19" s="175">
        <f t="shared" si="33"/>
        <v>0</v>
      </c>
      <c r="AH19" s="176"/>
      <c r="AI19" s="170">
        <f>'INN Income Splits'!O73</f>
        <v>50562.128333333319</v>
      </c>
      <c r="AJ19" s="176">
        <f t="shared" si="34"/>
        <v>0.13734587963237668</v>
      </c>
      <c r="AK19" s="176"/>
      <c r="AL19" s="253">
        <f>'INN Income Splits'!O91</f>
        <v>661761.73333333293</v>
      </c>
      <c r="AM19" s="176">
        <f t="shared" si="35"/>
        <v>0.20594536426786531</v>
      </c>
      <c r="AN19" s="176"/>
      <c r="AO19" s="253">
        <f>'INN Income Splits'!O109</f>
        <v>50651.75</v>
      </c>
      <c r="AP19" s="176">
        <f t="shared" si="36"/>
        <v>4.5155574720646637E-2</v>
      </c>
      <c r="AQ19" s="176"/>
      <c r="AR19" s="170">
        <f>'INN Income Splits'!X18</f>
        <v>80483.5</v>
      </c>
      <c r="AS19" s="173">
        <f t="shared" si="37"/>
        <v>4.2403579911966874E-2</v>
      </c>
      <c r="AT19" s="176"/>
      <c r="AU19" s="170">
        <f>'INN Income Splits'!X37</f>
        <v>7690.3333333333321</v>
      </c>
      <c r="AV19" s="175">
        <f t="shared" si="38"/>
        <v>1.4485787810301541E-2</v>
      </c>
      <c r="AW19" s="176"/>
      <c r="AX19" s="170">
        <f>'INN Income Splits'!X55</f>
        <v>0</v>
      </c>
      <c r="AY19" s="173">
        <f t="shared" si="39"/>
        <v>0</v>
      </c>
      <c r="AZ19" s="176"/>
      <c r="BA19" s="253">
        <f>'INN Income Splits'!X73</f>
        <v>45634.5</v>
      </c>
      <c r="BB19" s="176">
        <f t="shared" si="40"/>
        <v>3.4175300681286803E-2</v>
      </c>
      <c r="BC19" s="176"/>
      <c r="BD19" s="253">
        <f>'INN Income Splits'!X91</f>
        <v>1500</v>
      </c>
      <c r="BE19" s="176">
        <f t="shared" si="41"/>
        <v>2.1126165460127883E-2</v>
      </c>
      <c r="BF19" s="176"/>
      <c r="BG19" s="253">
        <f>'INN Income Splits'!X109</f>
        <v>0</v>
      </c>
      <c r="BH19" s="176">
        <f t="shared" si="42"/>
        <v>0</v>
      </c>
      <c r="BI19" s="176"/>
      <c r="BJ19" s="170">
        <f>'INN Income Splits'!AG18</f>
        <v>15504</v>
      </c>
      <c r="BK19" s="175">
        <f t="shared" si="43"/>
        <v>3.8637726246567486E-2</v>
      </c>
      <c r="BL19" s="176"/>
      <c r="BM19" s="170">
        <f>'INN Income Splits'!AG37</f>
        <v>88074.666666666686</v>
      </c>
      <c r="BN19" s="175">
        <f t="shared" si="44"/>
        <v>8.9813177728404359E-2</v>
      </c>
      <c r="BO19" s="176"/>
      <c r="BP19" s="170">
        <f>'INN Income Splits'!AG55</f>
        <v>30288.199999999997</v>
      </c>
      <c r="BQ19" s="175">
        <f t="shared" si="45"/>
        <v>6.7298398934563686E-2</v>
      </c>
      <c r="BR19" s="176"/>
      <c r="BS19" s="253">
        <f>'INN Income Splits'!AG73</f>
        <v>79741.199999999968</v>
      </c>
      <c r="BT19" s="176">
        <f t="shared" si="46"/>
        <v>0.14047679106938596</v>
      </c>
      <c r="BU19" s="176"/>
      <c r="BV19" s="253">
        <f>'INN Income Splits'!AG91</f>
        <v>11999</v>
      </c>
      <c r="BW19" s="176">
        <f t="shared" si="47"/>
        <v>2.7926401695903356E-2</v>
      </c>
      <c r="BX19" s="176"/>
      <c r="BY19" s="253">
        <f>'INN Income Splits'!AG109</f>
        <v>4232.5</v>
      </c>
      <c r="BZ19" s="176">
        <f t="shared" si="48"/>
        <v>4.3744927961210933E-3</v>
      </c>
      <c r="CA19" s="176"/>
      <c r="CB19" s="170"/>
      <c r="CC19" s="175"/>
      <c r="CD19" s="176"/>
      <c r="CE19" s="170"/>
      <c r="CF19" s="175"/>
      <c r="CG19" s="176"/>
      <c r="CH19" s="170"/>
      <c r="CI19" s="175"/>
      <c r="CJ19" s="176"/>
      <c r="CK19" s="170"/>
      <c r="CL19" s="175"/>
      <c r="CM19" s="176"/>
      <c r="CN19" s="170"/>
      <c r="CO19" s="175"/>
      <c r="CP19" s="176"/>
    </row>
    <row r="20" spans="1:94" x14ac:dyDescent="0.2">
      <c r="A20" s="134">
        <f t="shared" si="0"/>
        <v>15</v>
      </c>
      <c r="B20" s="190"/>
      <c r="C20" s="133"/>
      <c r="D20" s="133" t="s">
        <v>251</v>
      </c>
      <c r="E20" s="174"/>
      <c r="F20" s="175"/>
      <c r="G20" s="176"/>
      <c r="H20" s="253">
        <f>'INN Income Splits'!F19</f>
        <v>220.73999999999984</v>
      </c>
      <c r="I20" s="175">
        <f t="shared" si="25"/>
        <v>5.4869208277433755E-4</v>
      </c>
      <c r="J20" s="176"/>
      <c r="K20" s="170">
        <f>'INN Income Splits'!F38</f>
        <v>41965</v>
      </c>
      <c r="L20" s="175">
        <f t="shared" si="26"/>
        <v>0.10900760073529234</v>
      </c>
      <c r="N20" s="170">
        <f>'INN Income Splits'!F56</f>
        <v>8982.3699999999972</v>
      </c>
      <c r="O20" s="176">
        <f t="shared" si="27"/>
        <v>3.1100882792536474E-2</v>
      </c>
      <c r="P20" s="176"/>
      <c r="Q20" s="253">
        <f>'INN Income Splits'!F74</f>
        <v>6696.5</v>
      </c>
      <c r="R20" s="176">
        <f t="shared" si="28"/>
        <v>1.8464494218902849E-2</v>
      </c>
      <c r="S20" s="176"/>
      <c r="T20" s="253">
        <f>'INN Income Splits'!F92</f>
        <v>44251.666666666664</v>
      </c>
      <c r="U20" s="176">
        <f t="shared" si="29"/>
        <v>0.1653172544335032</v>
      </c>
      <c r="V20" s="176"/>
      <c r="W20" s="253">
        <f>'INN Income Splits'!F110</f>
        <v>13372.739999999994</v>
      </c>
      <c r="X20" s="176">
        <f t="shared" si="30"/>
        <v>2.9003971728064015E-2</v>
      </c>
      <c r="Y20" s="176"/>
      <c r="Z20" s="170">
        <f>'INN Income Splits'!O19</f>
        <v>94092.274285714288</v>
      </c>
      <c r="AA20" s="175">
        <f t="shared" si="31"/>
        <v>3.8686700247010368E-2</v>
      </c>
      <c r="AB20" s="176"/>
      <c r="AC20" s="170">
        <f>'INN Income Splits'!O38</f>
        <v>46890.400000000009</v>
      </c>
      <c r="AD20" s="173">
        <f t="shared" si="32"/>
        <v>6.8165660096180233E-2</v>
      </c>
      <c r="AE20" s="176"/>
      <c r="AF20" s="170">
        <f>'INN Income Splits'!O56</f>
        <v>18000</v>
      </c>
      <c r="AG20" s="175">
        <f t="shared" si="33"/>
        <v>0.17639427177241845</v>
      </c>
      <c r="AH20" s="176"/>
      <c r="AI20" s="170">
        <f>'INN Income Splits'!O74</f>
        <v>121522.75</v>
      </c>
      <c r="AJ20" s="176">
        <f t="shared" si="34"/>
        <v>0.33010178851771188</v>
      </c>
      <c r="AK20" s="176"/>
      <c r="AL20" s="253">
        <f>'INN Income Splits'!O92</f>
        <v>55800.5</v>
      </c>
      <c r="AM20" s="176">
        <f t="shared" si="35"/>
        <v>1.7365546721693728E-2</v>
      </c>
      <c r="AN20" s="176"/>
      <c r="AO20" s="253">
        <f>'INN Income Splits'!O110</f>
        <v>40360.984000000019</v>
      </c>
      <c r="AP20" s="176">
        <f t="shared" si="36"/>
        <v>3.5981450370635257E-2</v>
      </c>
      <c r="AQ20" s="176"/>
      <c r="AR20" s="170">
        <f>'INN Income Splits'!X19</f>
        <v>6129</v>
      </c>
      <c r="AS20" s="173">
        <f t="shared" si="37"/>
        <v>3.2291282223119639E-3</v>
      </c>
      <c r="AT20" s="176"/>
      <c r="AU20" s="170">
        <f>'INN Income Splits'!X38</f>
        <v>5000</v>
      </c>
      <c r="AV20" s="175">
        <f t="shared" si="38"/>
        <v>9.4181794094110854E-3</v>
      </c>
      <c r="AW20" s="176"/>
      <c r="AX20" s="170">
        <f>'INN Income Splits'!X56</f>
        <v>647.5</v>
      </c>
      <c r="AY20" s="175">
        <f t="shared" si="39"/>
        <v>8.0084433936010776E-3</v>
      </c>
      <c r="AZ20" s="176"/>
      <c r="BA20" s="253">
        <f>'INN Income Splits'!X74</f>
        <v>3164.5</v>
      </c>
      <c r="BB20" s="176">
        <f t="shared" si="40"/>
        <v>2.3698679509128419E-3</v>
      </c>
      <c r="BC20" s="176"/>
      <c r="BD20" s="253">
        <f>'INN Income Splits'!X92</f>
        <v>5000</v>
      </c>
      <c r="BE20" s="176">
        <f t="shared" si="41"/>
        <v>7.0420551533759618E-2</v>
      </c>
      <c r="BF20" s="176"/>
      <c r="BG20" s="253">
        <f>'INN Income Splits'!X110</f>
        <v>1095</v>
      </c>
      <c r="BH20" s="176">
        <f t="shared" si="42"/>
        <v>1.1373551040757822E-2</v>
      </c>
      <c r="BI20" s="176"/>
      <c r="BJ20" s="170">
        <f>'INN Income Splits'!AG19</f>
        <v>131278.33333333334</v>
      </c>
      <c r="BK20" s="175">
        <f t="shared" si="43"/>
        <v>0.32716049441685813</v>
      </c>
      <c r="BL20" s="176"/>
      <c r="BM20" s="170">
        <f>'INN Income Splits'!AG38</f>
        <v>18873</v>
      </c>
      <c r="BN20" s="175">
        <f t="shared" si="44"/>
        <v>1.924553526479247E-2</v>
      </c>
      <c r="BO20" s="176"/>
      <c r="BP20" s="170">
        <f>'INN Income Splits'!AG56</f>
        <v>18031.396000000004</v>
      </c>
      <c r="BQ20" s="175">
        <f t="shared" si="45"/>
        <v>4.0064582291291534E-2</v>
      </c>
      <c r="BR20" s="176"/>
      <c r="BS20" s="253">
        <f>'INN Income Splits'!AG74</f>
        <v>46110.219999999979</v>
      </c>
      <c r="BT20" s="176">
        <f t="shared" si="46"/>
        <v>8.123047735804606E-2</v>
      </c>
      <c r="BU20" s="176"/>
      <c r="BV20" s="253">
        <f>'INN Income Splits'!AG92</f>
        <v>17982</v>
      </c>
      <c r="BW20" s="176">
        <f t="shared" si="47"/>
        <v>4.1851200541356291E-2</v>
      </c>
      <c r="BX20" s="176"/>
      <c r="BY20" s="253">
        <f>'INN Income Splits'!AG110</f>
        <v>48758</v>
      </c>
      <c r="BZ20" s="176">
        <f t="shared" si="48"/>
        <v>5.0393743592031255E-2</v>
      </c>
      <c r="CA20" s="176"/>
      <c r="CB20" s="170"/>
      <c r="CC20" s="175"/>
      <c r="CD20" s="176"/>
      <c r="CE20" s="170"/>
      <c r="CF20" s="175"/>
      <c r="CG20" s="176"/>
      <c r="CH20" s="170"/>
      <c r="CI20" s="175"/>
      <c r="CJ20" s="176"/>
      <c r="CK20" s="170"/>
      <c r="CL20" s="175"/>
      <c r="CM20" s="176"/>
      <c r="CN20" s="170"/>
      <c r="CO20" s="175"/>
      <c r="CP20" s="176"/>
    </row>
    <row r="21" spans="1:94" x14ac:dyDescent="0.2">
      <c r="A21" s="134">
        <f t="shared" si="0"/>
        <v>16</v>
      </c>
      <c r="B21" s="190"/>
      <c r="C21" s="178"/>
      <c r="D21" s="178" t="s">
        <v>248</v>
      </c>
      <c r="E21" s="179"/>
      <c r="F21" s="180"/>
      <c r="G21" s="302"/>
      <c r="H21" s="181">
        <f>'INN Income Splits'!F20</f>
        <v>22520.766874999979</v>
      </c>
      <c r="I21" s="180">
        <f t="shared" si="25"/>
        <v>5.5979733996190349E-2</v>
      </c>
      <c r="J21" s="176"/>
      <c r="K21" s="181">
        <f>'INN Income Splits'!F39</f>
        <v>56979.208571428579</v>
      </c>
      <c r="L21" s="180">
        <f t="shared" si="26"/>
        <v>0.14800826446246237</v>
      </c>
      <c r="N21" s="181">
        <f>'INN Income Splits'!F57</f>
        <v>14767.333333333332</v>
      </c>
      <c r="O21" s="182">
        <f t="shared" si="27"/>
        <v>5.1130949087859562E-2</v>
      </c>
      <c r="P21" s="176"/>
      <c r="Q21" s="253">
        <f>'INN Income Splits'!F75</f>
        <v>22615.821666666659</v>
      </c>
      <c r="R21" s="182">
        <f t="shared" si="28"/>
        <v>6.2359397957127506E-2</v>
      </c>
      <c r="S21" s="176"/>
      <c r="T21" s="181">
        <f>'INN Income Splits'!F93</f>
        <v>35455</v>
      </c>
      <c r="U21" s="182">
        <f t="shared" si="29"/>
        <v>0.13245429375782133</v>
      </c>
      <c r="V21" s="176"/>
      <c r="W21" s="181">
        <f>'INN Income Splits'!F111</f>
        <v>32873.362500000025</v>
      </c>
      <c r="X21" s="182">
        <f t="shared" si="30"/>
        <v>7.1298632632983278E-2</v>
      </c>
      <c r="Y21" s="176"/>
      <c r="Z21" s="181">
        <f>'INN Income Splits'!O20</f>
        <v>615836.75</v>
      </c>
      <c r="AA21" s="180">
        <f t="shared" si="31"/>
        <v>0.25320561044149709</v>
      </c>
      <c r="AB21" s="176"/>
      <c r="AC21" s="181">
        <f>'INN Income Splits'!O39</f>
        <v>17989.142857142855</v>
      </c>
      <c r="AD21" s="180">
        <f t="shared" si="32"/>
        <v>2.6151233459762089E-2</v>
      </c>
      <c r="AE21" s="176"/>
      <c r="AF21" s="181">
        <f>'INN Income Splits'!O57</f>
        <v>60724.13</v>
      </c>
      <c r="AG21" s="180">
        <f t="shared" si="33"/>
        <v>0.59507714946464818</v>
      </c>
      <c r="AH21" s="176"/>
      <c r="AI21" s="181">
        <f>'INN Income Splits'!O75</f>
        <v>26703.322857142844</v>
      </c>
      <c r="AJ21" s="176">
        <f t="shared" si="34"/>
        <v>7.2536332781382495E-2</v>
      </c>
      <c r="AK21" s="176"/>
      <c r="AL21" s="181">
        <f>'INN Income Splits'!O93</f>
        <v>1061453.6000000003</v>
      </c>
      <c r="AM21" s="182">
        <f t="shared" si="35"/>
        <v>0.33033256124425425</v>
      </c>
      <c r="AN21" s="176"/>
      <c r="AO21" s="181">
        <f>'INN Income Splits'!O111</f>
        <v>238135.7777777779</v>
      </c>
      <c r="AP21" s="182">
        <f t="shared" si="36"/>
        <v>0.21229588132895216</v>
      </c>
      <c r="AQ21" s="176"/>
      <c r="AR21" s="181">
        <f>'INN Income Splits'!X20</f>
        <v>141252</v>
      </c>
      <c r="AS21" s="180">
        <f t="shared" si="37"/>
        <v>7.4420104365803486E-2</v>
      </c>
      <c r="AT21" s="176"/>
      <c r="AU21" s="181">
        <f>'INN Income Splits'!X39</f>
        <v>73510.333333333343</v>
      </c>
      <c r="AV21" s="180">
        <f t="shared" si="38"/>
        <v>0.13846670155578908</v>
      </c>
      <c r="AW21" s="176"/>
      <c r="AX21" s="181">
        <f>'INN Income Splits'!X57</f>
        <v>64502</v>
      </c>
      <c r="AY21" s="180">
        <f t="shared" si="39"/>
        <v>0.79777701277846602</v>
      </c>
      <c r="AZ21" s="176"/>
      <c r="BA21" s="181">
        <f>'INN Income Splits'!X75</f>
        <v>109821.19999999997</v>
      </c>
      <c r="BB21" s="182">
        <f t="shared" si="40"/>
        <v>8.2244190934046238E-2</v>
      </c>
      <c r="BC21" s="176"/>
      <c r="BD21" s="181">
        <f>'INN Income Splits'!X93</f>
        <v>64502</v>
      </c>
      <c r="BE21" s="182">
        <f t="shared" si="41"/>
        <v>0.9084532830061125</v>
      </c>
      <c r="BF21" s="176"/>
      <c r="BG21" s="181">
        <f>'INN Income Splits'!X111</f>
        <v>95181</v>
      </c>
      <c r="BH21" s="182">
        <f t="shared" si="42"/>
        <v>0.98862644895924223</v>
      </c>
      <c r="BI21" s="176"/>
      <c r="BJ21" s="181">
        <f>'INN Income Splits'!AG20</f>
        <v>62487.950000000004</v>
      </c>
      <c r="BK21" s="180">
        <f t="shared" si="43"/>
        <v>0.15572705790822991</v>
      </c>
      <c r="BL21" s="176"/>
      <c r="BM21" s="181">
        <f>'INN Income Splits'!AG39</f>
        <v>194359.10000000006</v>
      </c>
      <c r="BN21" s="180">
        <f t="shared" si="44"/>
        <v>0.19819556578621986</v>
      </c>
      <c r="BO21" s="176"/>
      <c r="BP21" s="181">
        <f>'INN Income Splits'!AG57</f>
        <v>24183.583333333325</v>
      </c>
      <c r="BQ21" s="180">
        <f t="shared" si="45"/>
        <v>5.3734340067548805E-2</v>
      </c>
      <c r="BR21" s="176"/>
      <c r="BS21" s="181">
        <f>'INN Income Splits'!AG75</f>
        <v>33078.029166666667</v>
      </c>
      <c r="BT21" s="182">
        <f t="shared" si="46"/>
        <v>5.8272202979549978E-2</v>
      </c>
      <c r="BU21" s="176"/>
      <c r="BV21" s="181">
        <f>'INN Income Splits'!AG93</f>
        <v>119575.27222222225</v>
      </c>
      <c r="BW21" s="182">
        <f t="shared" si="47"/>
        <v>0.2782987819797294</v>
      </c>
      <c r="BX21" s="176"/>
      <c r="BY21" s="181">
        <f>'INN Income Splits'!AG111</f>
        <v>202126.39999999997</v>
      </c>
      <c r="BZ21" s="182">
        <f t="shared" si="48"/>
        <v>0.20890737878461677</v>
      </c>
      <c r="CA21" s="176"/>
      <c r="CB21" s="181"/>
      <c r="CC21" s="180">
        <v>0</v>
      </c>
      <c r="CD21" s="176"/>
      <c r="CE21" s="181"/>
      <c r="CF21" s="180">
        <f>CE21/$CE$22</f>
        <v>0</v>
      </c>
      <c r="CG21" s="176"/>
      <c r="CH21" s="181"/>
      <c r="CI21" s="180"/>
      <c r="CJ21" s="176"/>
      <c r="CK21" s="181"/>
      <c r="CL21" s="180"/>
      <c r="CM21" s="176"/>
      <c r="CN21" s="181"/>
      <c r="CO21" s="180"/>
      <c r="CP21" s="176"/>
    </row>
    <row r="22" spans="1:94" x14ac:dyDescent="0.2">
      <c r="A22" s="134">
        <f t="shared" si="0"/>
        <v>17</v>
      </c>
      <c r="B22" s="190"/>
      <c r="C22" s="299"/>
      <c r="D22" s="299" t="s">
        <v>252</v>
      </c>
      <c r="E22" s="300"/>
      <c r="F22" s="301"/>
      <c r="G22" s="186"/>
      <c r="H22" s="303">
        <f>SUM(H16:H21)</f>
        <v>402302.14163812588</v>
      </c>
      <c r="I22" s="301">
        <f>SUM(I16:I21)</f>
        <v>1</v>
      </c>
      <c r="J22" s="186"/>
      <c r="K22" s="303">
        <f>SUM(K16:K21)</f>
        <v>384973.15523809521</v>
      </c>
      <c r="L22" s="309">
        <f>SUM(L16:L21)</f>
        <v>1</v>
      </c>
      <c r="N22" s="303">
        <f>SUM(N16:N21)</f>
        <v>288813.98833333334</v>
      </c>
      <c r="O22" s="310">
        <f>SUM(O16:O21)</f>
        <v>0.99999999999999989</v>
      </c>
      <c r="P22" s="187"/>
      <c r="Q22" s="303">
        <f>SUM(Q16:Q21)</f>
        <v>362669.01874542126</v>
      </c>
      <c r="R22" s="310">
        <f>SUM(R16:R21)</f>
        <v>0.99999999999999989</v>
      </c>
      <c r="S22" s="187"/>
      <c r="T22" s="303">
        <f>SUM(T16:T21)</f>
        <v>267677.2416666667</v>
      </c>
      <c r="U22" s="310">
        <f>SUM(U16:U21)</f>
        <v>0.99999999999999978</v>
      </c>
      <c r="V22" s="187"/>
      <c r="W22" s="303">
        <f>SUM(W16:W21)</f>
        <v>461065.81972222228</v>
      </c>
      <c r="X22" s="310">
        <f>SUM(X16:X21)</f>
        <v>1</v>
      </c>
      <c r="Y22" s="187"/>
      <c r="Z22" s="303">
        <f>SUM(Z16:Z21)</f>
        <v>2432160.7602857146</v>
      </c>
      <c r="AA22" s="309">
        <f>SUM(AA16:AA21)</f>
        <v>0.99999999999999978</v>
      </c>
      <c r="AB22" s="187"/>
      <c r="AC22" s="303">
        <f>SUM(AC16:AC21)</f>
        <v>687888.88619047613</v>
      </c>
      <c r="AD22" s="309">
        <f>SUM(AD16:AD21)</f>
        <v>1</v>
      </c>
      <c r="AE22" s="187"/>
      <c r="AF22" s="303">
        <f>SUM(AF16:AF21)</f>
        <v>102044.13</v>
      </c>
      <c r="AG22" s="311">
        <f>SUM(AG16:AG21)</f>
        <v>0.99999999999999989</v>
      </c>
      <c r="AH22" s="187"/>
      <c r="AI22" s="181">
        <f>SUM(AI16:AI21)</f>
        <v>368137.20563492068</v>
      </c>
      <c r="AJ22" s="311">
        <f>SUM(AJ16:AJ21)</f>
        <v>0.99999999999999989</v>
      </c>
      <c r="AK22" s="187"/>
      <c r="AL22" s="181">
        <f>SUM(AL16:AL21)</f>
        <v>3213287.833333333</v>
      </c>
      <c r="AM22" s="311">
        <f>SUM(AM16:AM21)</f>
        <v>1</v>
      </c>
      <c r="AN22" s="187"/>
      <c r="AO22" s="181">
        <f>SUM(AO16:AO21)</f>
        <v>1121716.4284444447</v>
      </c>
      <c r="AP22" s="311">
        <f>SUM(AP16:AP21)</f>
        <v>1</v>
      </c>
      <c r="AQ22" s="187"/>
      <c r="AR22" s="303">
        <f>SUM(AR16:AR21)</f>
        <v>1898035.5</v>
      </c>
      <c r="AS22" s="311">
        <f>SUM(AS16:AS21)</f>
        <v>0.99999999999999989</v>
      </c>
      <c r="AT22" s="187"/>
      <c r="AU22" s="303">
        <f>SUM(AU16:AU21)</f>
        <v>530888.16666666663</v>
      </c>
      <c r="AV22" s="311">
        <f>SUM(AV16:AV21)</f>
        <v>1</v>
      </c>
      <c r="AW22" s="187"/>
      <c r="AX22" s="303">
        <f>SUM(AX16:AX21)</f>
        <v>80852.166666666672</v>
      </c>
      <c r="AY22" s="311">
        <f>SUM(AY16:AY21)</f>
        <v>1</v>
      </c>
      <c r="AZ22" s="187"/>
      <c r="BA22" s="303">
        <f>SUM(BA16:BA21)</f>
        <v>1335306.4666666666</v>
      </c>
      <c r="BB22" s="311">
        <f>SUM(BB16:BB21)</f>
        <v>1</v>
      </c>
      <c r="BC22" s="187"/>
      <c r="BD22" s="303">
        <f>SUM(BD16:BD21)</f>
        <v>71002</v>
      </c>
      <c r="BE22" s="311">
        <f>SUM(BE16:BE21)</f>
        <v>1</v>
      </c>
      <c r="BF22" s="187"/>
      <c r="BG22" s="303">
        <f>SUM(BG16:BG21)</f>
        <v>96276</v>
      </c>
      <c r="BH22" s="311">
        <f>SUM(BH16:BH21)</f>
        <v>1</v>
      </c>
      <c r="BI22" s="187"/>
      <c r="BJ22" s="303">
        <f>SUM(BJ16:BJ21)</f>
        <v>401265.84833333333</v>
      </c>
      <c r="BK22" s="311">
        <f>SUM(BK16:BK21)</f>
        <v>1</v>
      </c>
      <c r="BL22" s="187"/>
      <c r="BM22" s="303">
        <f>SUM(BM16:BM21)</f>
        <v>980643.02916666702</v>
      </c>
      <c r="BN22" s="311">
        <f>SUM(BN16:BN21)</f>
        <v>0.99999999999999989</v>
      </c>
      <c r="BO22" s="187"/>
      <c r="BP22" s="303">
        <f>SUM(BP16:BP21)</f>
        <v>450058.25516666676</v>
      </c>
      <c r="BQ22" s="311">
        <f>SUM(BQ16:BQ21)</f>
        <v>1</v>
      </c>
      <c r="BR22" s="187"/>
      <c r="BS22" s="303">
        <f>SUM(BS16:BS21)</f>
        <v>567646.79341666657</v>
      </c>
      <c r="BT22" s="311">
        <f>SUM(BT16:BT21)</f>
        <v>0.99999999999999978</v>
      </c>
      <c r="BU22" s="187"/>
      <c r="BV22" s="303">
        <f>SUM(BV16:BV21)</f>
        <v>429665.09365079371</v>
      </c>
      <c r="BW22" s="311">
        <f>SUM(BW16:BW21)</f>
        <v>1</v>
      </c>
      <c r="BX22" s="187"/>
      <c r="BY22" s="303">
        <f>SUM(BY16:BY21)</f>
        <v>967540.74066666653</v>
      </c>
      <c r="BZ22" s="311">
        <f>SUM(BZ16:BZ21)</f>
        <v>1.0000000000000002</v>
      </c>
      <c r="CA22" s="187"/>
      <c r="CB22" s="303">
        <f>'Hub Data'!E4</f>
        <v>0</v>
      </c>
      <c r="CC22" s="311">
        <v>0</v>
      </c>
      <c r="CD22" s="187"/>
      <c r="CE22" s="303">
        <f>'Hub Data'!E2</f>
        <v>50000</v>
      </c>
      <c r="CF22" s="311">
        <f>SUM(CF16:CF21)</f>
        <v>0</v>
      </c>
      <c r="CG22" s="187"/>
      <c r="CH22" s="303"/>
      <c r="CI22" s="311"/>
      <c r="CJ22" s="187"/>
      <c r="CK22" s="303"/>
      <c r="CL22" s="311"/>
      <c r="CM22" s="187"/>
      <c r="CN22" s="303"/>
      <c r="CO22" s="311"/>
      <c r="CP22" s="187"/>
    </row>
    <row r="23" spans="1:94" x14ac:dyDescent="0.2">
      <c r="A23" s="134">
        <f t="shared" si="0"/>
        <v>18</v>
      </c>
      <c r="C23" s="133" t="s">
        <v>253</v>
      </c>
      <c r="E23" s="296">
        <v>80000</v>
      </c>
      <c r="F23" s="297"/>
      <c r="G23" s="133"/>
      <c r="H23" s="201">
        <f>H22+H14</f>
        <v>872391.03508144931</v>
      </c>
      <c r="I23" s="297"/>
      <c r="J23" s="133"/>
      <c r="K23" s="201">
        <f>K22+K14</f>
        <v>1089930.8758095237</v>
      </c>
      <c r="L23" s="297"/>
      <c r="M23" s="133"/>
      <c r="N23" s="201">
        <f>N22+N14</f>
        <v>747407.91899999999</v>
      </c>
      <c r="O23" s="133"/>
      <c r="P23" s="133"/>
      <c r="Q23" s="201">
        <f>Q22+Q14</f>
        <v>792117.53556360304</v>
      </c>
      <c r="R23" s="133"/>
      <c r="S23" s="133"/>
      <c r="T23" s="201">
        <f>T22+T14</f>
        <v>708654.80641304364</v>
      </c>
      <c r="U23" s="133"/>
      <c r="V23" s="133"/>
      <c r="W23" s="201">
        <f>W22+W14</f>
        <v>1126157.1721416137</v>
      </c>
      <c r="X23" s="133"/>
      <c r="Y23" s="133"/>
      <c r="Z23" s="201">
        <f>Z22+Z14</f>
        <v>3577655.3090357147</v>
      </c>
      <c r="AA23" s="298"/>
      <c r="AB23" s="133"/>
      <c r="AC23" s="201">
        <f>AC22+AC14</f>
        <v>2260279.5896143895</v>
      </c>
      <c r="AD23" s="298"/>
      <c r="AE23" s="133"/>
      <c r="AF23" s="201">
        <f>AF22+AF14</f>
        <v>1012815.8507142856</v>
      </c>
      <c r="AG23" s="298"/>
      <c r="AH23" s="133"/>
      <c r="AI23" s="248">
        <f>AI14+AI22</f>
        <v>2113935.1256349208</v>
      </c>
      <c r="AJ23" s="133"/>
      <c r="AK23" s="133"/>
      <c r="AL23" s="248">
        <f>AL14+AL22</f>
        <v>4423481.0986666661</v>
      </c>
      <c r="AM23" s="133"/>
      <c r="AN23" s="133"/>
      <c r="AO23" s="248">
        <f>AO14+AO22</f>
        <v>2030220.8554980159</v>
      </c>
      <c r="AP23" s="133"/>
      <c r="AQ23" s="133"/>
      <c r="AR23" s="201">
        <f>AR22+AR14</f>
        <v>4786106.9474999998</v>
      </c>
      <c r="AS23" s="298"/>
      <c r="AT23" s="133"/>
      <c r="AU23" s="201">
        <f>AU22+AU14</f>
        <v>900540.46222222224</v>
      </c>
      <c r="AV23" s="298"/>
      <c r="AW23" s="133"/>
      <c r="AX23" s="201">
        <f>AX22+AX14</f>
        <v>768836.84791666665</v>
      </c>
      <c r="AY23" s="298"/>
      <c r="AZ23" s="133"/>
      <c r="BA23" s="201">
        <f>BA22+BA14</f>
        <v>2964621.2051515151</v>
      </c>
      <c r="BB23" s="298"/>
      <c r="BC23" s="133"/>
      <c r="BD23" s="201">
        <f>BD22+BD14</f>
        <v>429401.52309523808</v>
      </c>
      <c r="BE23" s="298"/>
      <c r="BF23" s="133"/>
      <c r="BG23" s="201">
        <f>BG22+BG14</f>
        <v>332944.5</v>
      </c>
      <c r="BH23" s="298"/>
      <c r="BI23" s="133"/>
      <c r="BJ23" s="201">
        <f>BJ22+BJ14</f>
        <v>8867552.9133333322</v>
      </c>
      <c r="BK23" s="298"/>
      <c r="BL23" s="133"/>
      <c r="BM23" s="201">
        <f>BM22+BM14</f>
        <v>3261732.6722916672</v>
      </c>
      <c r="BN23" s="298"/>
      <c r="BO23" s="133"/>
      <c r="BP23" s="201">
        <f>BP22+BP14</f>
        <v>3906765.6297222218</v>
      </c>
      <c r="BQ23" s="298"/>
      <c r="BR23" s="133"/>
      <c r="BS23" s="201">
        <f>BS22+BS14</f>
        <v>2485483.6522177197</v>
      </c>
      <c r="BT23" s="298"/>
      <c r="BU23" s="133"/>
      <c r="BV23" s="201">
        <f>BV22+BV14</f>
        <v>6145979.6182020744</v>
      </c>
      <c r="BW23" s="298"/>
      <c r="BX23" s="133"/>
      <c r="BY23" s="201">
        <f>BY22+BY14</f>
        <v>7787658.6960833333</v>
      </c>
      <c r="BZ23" s="298"/>
      <c r="CA23" s="133"/>
      <c r="CB23" s="201">
        <f>CB22+CB14</f>
        <v>1142108</v>
      </c>
      <c r="CC23" s="298"/>
      <c r="CD23" s="133"/>
      <c r="CE23" s="201">
        <f>CE22+CE14</f>
        <v>888500</v>
      </c>
      <c r="CF23" s="298"/>
      <c r="CG23" s="133"/>
      <c r="CH23" s="133"/>
      <c r="CI23" s="298"/>
      <c r="CJ23" s="133"/>
      <c r="CK23" s="133"/>
      <c r="CL23" s="298"/>
      <c r="CM23" s="133"/>
      <c r="CN23" s="133"/>
      <c r="CO23" s="298"/>
    </row>
    <row r="24" spans="1:94" x14ac:dyDescent="0.2">
      <c r="A24" s="134">
        <f t="shared" si="0"/>
        <v>19</v>
      </c>
      <c r="E24" s="184"/>
      <c r="F24" s="189"/>
      <c r="H24" s="191"/>
      <c r="I24" s="189"/>
      <c r="L24" s="189"/>
      <c r="AA24" s="173"/>
      <c r="AD24" s="173"/>
      <c r="AF24" s="170"/>
      <c r="AG24" s="173"/>
      <c r="AS24" s="173"/>
      <c r="AV24" s="173"/>
      <c r="AY24" s="173"/>
      <c r="BK24" s="173"/>
      <c r="BN24" s="173"/>
      <c r="BQ24" s="173"/>
      <c r="CC24" s="173"/>
      <c r="CF24" s="173"/>
      <c r="CI24" s="173"/>
      <c r="CL24" s="173"/>
      <c r="CO24" s="173"/>
    </row>
    <row r="25" spans="1:94" x14ac:dyDescent="0.2">
      <c r="A25" s="134">
        <f t="shared" si="0"/>
        <v>20</v>
      </c>
      <c r="B25" s="133" t="s">
        <v>254</v>
      </c>
      <c r="E25" s="184"/>
      <c r="F25" s="189"/>
      <c r="H25" s="191"/>
      <c r="I25" s="189"/>
      <c r="L25" s="189"/>
      <c r="AA25" s="173"/>
      <c r="AD25" s="173"/>
      <c r="AF25" s="170"/>
      <c r="AG25" s="173"/>
      <c r="AS25" s="173"/>
      <c r="AV25" s="173"/>
      <c r="AY25" s="173"/>
      <c r="BK25" s="173"/>
      <c r="BN25" s="173"/>
      <c r="BQ25" s="173"/>
      <c r="CC25" s="173"/>
      <c r="CF25" s="173"/>
      <c r="CI25" s="173"/>
      <c r="CL25" s="173"/>
      <c r="CO25" s="173"/>
    </row>
    <row r="26" spans="1:94" x14ac:dyDescent="0.2">
      <c r="A26" s="134">
        <f t="shared" si="0"/>
        <v>21</v>
      </c>
      <c r="C26" s="133" t="s">
        <v>112</v>
      </c>
      <c r="E26" s="174">
        <f>0.6*E28</f>
        <v>37920</v>
      </c>
      <c r="F26" s="175"/>
      <c r="G26" s="176"/>
      <c r="H26" s="253">
        <f>'INN Rollups 2021'!E17</f>
        <v>387710.28823529434</v>
      </c>
      <c r="I26" s="175">
        <f>H26/H$28</f>
        <v>0.6067980092756311</v>
      </c>
      <c r="J26" s="176"/>
      <c r="K26" s="170">
        <f>'INN Rollups 2021'!E32</f>
        <v>280046.55809523811</v>
      </c>
      <c r="L26" s="173">
        <f>K26/$K$28</f>
        <v>0.58919688284393557</v>
      </c>
      <c r="M26" s="253"/>
      <c r="N26" s="170">
        <f>'INN Rollups 2021'!E47</f>
        <v>195557</v>
      </c>
      <c r="O26" s="176">
        <f>N26/$N$28</f>
        <v>0.56566267024924533</v>
      </c>
      <c r="P26" s="176"/>
      <c r="Q26" s="170">
        <f>'INN Rollups 2021'!E62</f>
        <v>191722.71458333347</v>
      </c>
      <c r="R26" s="176">
        <f>Q26/Q28</f>
        <v>0.60395769820616474</v>
      </c>
      <c r="S26" s="176"/>
      <c r="T26" s="170">
        <f>'INN Rollups 2021'!E77</f>
        <v>263905.7318181817</v>
      </c>
      <c r="U26" s="176">
        <f>T26/T28</f>
        <v>0.68073425465927329</v>
      </c>
      <c r="V26" s="176"/>
      <c r="W26" s="170">
        <f>'INN Rollups 2021'!E92</f>
        <v>513133.53656249988</v>
      </c>
      <c r="X26" s="176">
        <f>W26/W28</f>
        <v>0.57626670521744883</v>
      </c>
      <c r="Y26" s="176"/>
      <c r="Z26" s="170">
        <f>'INN Rollups 2021'!K17</f>
        <v>694815.3558333331</v>
      </c>
      <c r="AA26" s="173">
        <f>Z26/Z28</f>
        <v>0.63758537397859205</v>
      </c>
      <c r="AB26" s="176"/>
      <c r="AC26" s="170">
        <f>'INN Rollups 2021'!K32</f>
        <v>835167.65086956555</v>
      </c>
      <c r="AD26" s="173">
        <f>AC26/AC28</f>
        <v>0.5948871038765603</v>
      </c>
      <c r="AE26" s="176"/>
      <c r="AF26" s="170">
        <f>'INN Rollups 2021'!K47</f>
        <v>566330.125</v>
      </c>
      <c r="AG26" s="173">
        <f>AF26/AF28</f>
        <v>0.73847670712718272</v>
      </c>
      <c r="AH26" s="176"/>
      <c r="AI26" s="253">
        <f>'INN Rollups 2021'!K62</f>
        <v>732092.8755555558</v>
      </c>
      <c r="AJ26" s="176">
        <f>AI26/AI28</f>
        <v>0.55849413940011072</v>
      </c>
      <c r="AK26" s="176"/>
      <c r="AL26" s="170">
        <f>'INN Rollups 2021'!K77</f>
        <v>962756.51350000012</v>
      </c>
      <c r="AM26" s="176">
        <f>AL26/AL28</f>
        <v>0.72719135026851178</v>
      </c>
      <c r="AN26" s="176"/>
      <c r="AO26" s="170">
        <f>'INN Rollups 2021'!K92</f>
        <v>493891.46750000009</v>
      </c>
      <c r="AP26" s="176">
        <f>AO26/AO28</f>
        <v>0.55529610214584613</v>
      </c>
      <c r="AQ26" s="176"/>
      <c r="AR26" s="170">
        <f>'INN Rollups 2021'!Q17</f>
        <v>1657087.8000000005</v>
      </c>
      <c r="AS26" s="173">
        <f>AR26/AR28</f>
        <v>0.49850681504235156</v>
      </c>
      <c r="AT26" s="176"/>
      <c r="AU26" s="170">
        <f>'INN Rollups 2021'!Q32</f>
        <v>155283.5</v>
      </c>
      <c r="AV26" s="173">
        <f>AU26/AU28</f>
        <v>0.46081437490030824</v>
      </c>
      <c r="AW26" s="176"/>
      <c r="AX26" s="170">
        <f>'INN Rollups 2021'!Q47</f>
        <v>304670.5</v>
      </c>
      <c r="AY26" s="173">
        <f>AX26/AX28</f>
        <v>0.74679930766692393</v>
      </c>
      <c r="AZ26" s="176"/>
      <c r="BA26" s="253">
        <f>'INN Rollups 2021'!Q62</f>
        <v>980631.09999999974</v>
      </c>
      <c r="BB26" s="176">
        <f>BA26/BA28</f>
        <v>0.58391429653271532</v>
      </c>
      <c r="BC26" s="176"/>
      <c r="BD26" s="170">
        <f>'INN Rollups 2021'!Q77</f>
        <v>197626.66666666669</v>
      </c>
      <c r="BE26" s="176">
        <f>BD26/BD28</f>
        <v>0.71756694360513007</v>
      </c>
      <c r="BF26" s="176"/>
      <c r="BG26" s="170">
        <f>'INN Rollups 2021'!Q92</f>
        <v>194600</v>
      </c>
      <c r="BH26" s="176">
        <f>BG26/BG28</f>
        <v>0.23539350633264178</v>
      </c>
      <c r="BI26" s="176"/>
      <c r="BJ26" s="170">
        <f>'INN Rollups 2021'!W17</f>
        <v>6396387.25</v>
      </c>
      <c r="BK26" s="173">
        <f>BJ26/BJ28</f>
        <v>0.59927809282305844</v>
      </c>
      <c r="BL26" s="176"/>
      <c r="BM26" s="170">
        <f>'INN Rollups 2021'!W32</f>
        <v>1300633.666666667</v>
      </c>
      <c r="BN26" s="173">
        <f>BM26/BM28</f>
        <v>0.58044362618075451</v>
      </c>
      <c r="BO26" s="176"/>
      <c r="BP26" s="170">
        <f>'INN Rollups 2021'!W47</f>
        <v>1375785.7085000004</v>
      </c>
      <c r="BQ26" s="173">
        <f>BP26/BP28</f>
        <v>0.62287298093414223</v>
      </c>
      <c r="BR26" s="176"/>
      <c r="BS26" s="253">
        <f>'INN Rollups 2021'!W62</f>
        <v>1051833.1813043477</v>
      </c>
      <c r="BT26" s="176">
        <f>BS26/BS28</f>
        <v>0.50686053790850805</v>
      </c>
      <c r="BU26" s="176"/>
      <c r="BV26" s="170">
        <f>'INN Rollups 2021'!W77</f>
        <v>2726156.8</v>
      </c>
      <c r="BW26" s="176">
        <f>BV26/BV28</f>
        <v>0.55979947709604505</v>
      </c>
      <c r="BX26" s="176"/>
      <c r="BY26" s="170">
        <f>'INN Rollups 2021'!W92</f>
        <v>4626712.875</v>
      </c>
      <c r="BZ26" s="176">
        <f>BY26/BY28</f>
        <v>0.7535457488636258</v>
      </c>
      <c r="CA26" s="176"/>
      <c r="CB26" s="170">
        <f>'Hub Data'!$F$4*Assumptions!B32</f>
        <v>568822.79999999993</v>
      </c>
      <c r="CC26" s="173">
        <f>CB26/CB28</f>
        <v>0.6</v>
      </c>
      <c r="CD26" s="176"/>
      <c r="CE26" s="170">
        <f>(AVERAGE('Hub Data'!$F$2,'Hub Data'!$F$3))*Assumptions!B32</f>
        <v>479525.69999999995</v>
      </c>
      <c r="CF26" s="173">
        <f>CE26/CE28</f>
        <v>0.6</v>
      </c>
      <c r="CG26" s="176"/>
      <c r="CH26" s="170">
        <f>AVERAGEIF('Public Radio Data'!$C$2:$C$9,"Small",'Public Radio Data'!I2:I9)</f>
        <v>497469</v>
      </c>
      <c r="CI26" s="173">
        <f>CH26/CH28</f>
        <v>0.63278541513627995</v>
      </c>
      <c r="CJ26" s="176"/>
      <c r="CK26" s="170">
        <f>AVERAGEIF('Public Radio Data'!C2:C9,"Medium",'Public Radio Data'!I2:I9)</f>
        <v>2467649.5</v>
      </c>
      <c r="CL26" s="173">
        <f>CK26/CK28</f>
        <v>0.72614094696873277</v>
      </c>
      <c r="CM26" s="176"/>
      <c r="CN26" s="170">
        <f>AVERAGEIF('Public Radio Data'!C2:C9,"Large",'Public Radio Data'!I2:I9)</f>
        <v>3949969</v>
      </c>
      <c r="CO26" s="173">
        <f>CN26/CN28</f>
        <v>0.83445868187660877</v>
      </c>
      <c r="CP26" s="176"/>
    </row>
    <row r="27" spans="1:94" x14ac:dyDescent="0.2">
      <c r="A27" s="134">
        <f t="shared" si="0"/>
        <v>22</v>
      </c>
      <c r="C27" s="178" t="s">
        <v>113</v>
      </c>
      <c r="D27" s="192"/>
      <c r="E27" s="179">
        <f>0.4*E28</f>
        <v>25280</v>
      </c>
      <c r="F27" s="180"/>
      <c r="G27" s="176"/>
      <c r="H27" s="181">
        <f>'INN Rollups 2021'!E18</f>
        <v>251234.27372549052</v>
      </c>
      <c r="I27" s="180">
        <f>H27/H$28</f>
        <v>0.39320199072436901</v>
      </c>
      <c r="J27" s="176"/>
      <c r="K27" s="181">
        <f>'INN Rollups 2021'!E33</f>
        <v>195255.61380952375</v>
      </c>
      <c r="L27" s="180">
        <f>K27/$K$28</f>
        <v>0.41080311715606443</v>
      </c>
      <c r="M27" s="253"/>
      <c r="N27" s="181">
        <f>'INN Rollups 2021'!E48</f>
        <v>150156.10833333337</v>
      </c>
      <c r="O27" s="182">
        <f>N27/$N$28</f>
        <v>0.43433732975075456</v>
      </c>
      <c r="P27" s="176"/>
      <c r="Q27" s="181">
        <f>'INN Rollups 2021'!E63</f>
        <v>125721.23083333335</v>
      </c>
      <c r="R27" s="182">
        <f>Q27/Q28</f>
        <v>0.39604230179383537</v>
      </c>
      <c r="S27" s="176"/>
      <c r="T27" s="181">
        <f>'INN Rollups 2021'!E78</f>
        <v>123772.32318181822</v>
      </c>
      <c r="U27" s="182">
        <f>T27/T28</f>
        <v>0.31926574534072671</v>
      </c>
      <c r="V27" s="176"/>
      <c r="W27" s="181">
        <f>'INN Rollups 2021'!E93</f>
        <v>377310.99531250028</v>
      </c>
      <c r="X27" s="182">
        <f>W27/W28</f>
        <v>0.42373329478255128</v>
      </c>
      <c r="Y27" s="176"/>
      <c r="Z27" s="181">
        <f>'INN Rollups 2021'!K18</f>
        <v>394945.14399999991</v>
      </c>
      <c r="AA27" s="180">
        <f>Z27/Z28</f>
        <v>0.36241462602140784</v>
      </c>
      <c r="AB27" s="176"/>
      <c r="AC27" s="181">
        <f>'INN Rollups 2021'!K33</f>
        <v>568741.83956521738</v>
      </c>
      <c r="AD27" s="180">
        <f>AC27/AC28</f>
        <v>0.40511289612343965</v>
      </c>
      <c r="AE27" s="176"/>
      <c r="AF27" s="181">
        <f>'INN Rollups 2021'!K48</f>
        <v>200559.5</v>
      </c>
      <c r="AG27" s="180">
        <f>AF27/AF28</f>
        <v>0.26152329287281728</v>
      </c>
      <c r="AH27" s="176"/>
      <c r="AI27" s="181">
        <f>'INN Rollups 2021'!K63</f>
        <v>578740.71052631573</v>
      </c>
      <c r="AJ27" s="182">
        <f>AI27/AI28</f>
        <v>0.44150586059988928</v>
      </c>
      <c r="AK27" s="176"/>
      <c r="AL27" s="181">
        <f>'INN Rollups 2021'!K78</f>
        <v>361181.83249999979</v>
      </c>
      <c r="AM27" s="182">
        <f>AL27/AL28</f>
        <v>0.27280864973148816</v>
      </c>
      <c r="AN27" s="176"/>
      <c r="AO27" s="181">
        <f>'INN Rollups 2021'!K93</f>
        <v>395528.5475000001</v>
      </c>
      <c r="AP27" s="182">
        <f>AO27/AO28</f>
        <v>0.44470389785415393</v>
      </c>
      <c r="AQ27" s="176"/>
      <c r="AR27" s="181">
        <f>'INN Rollups 2021'!Q18</f>
        <v>1667014.8000000005</v>
      </c>
      <c r="AS27" s="180">
        <f>AR27/AR28</f>
        <v>0.50149318495764839</v>
      </c>
      <c r="AT27" s="176"/>
      <c r="AU27" s="181">
        <f>'INN Rollups 2021'!Q33</f>
        <v>181692.75</v>
      </c>
      <c r="AV27" s="180">
        <f>AU27/AU28</f>
        <v>0.5391856250996917</v>
      </c>
      <c r="AW27" s="176"/>
      <c r="AX27" s="181">
        <f>'INN Rollups 2021'!Q48</f>
        <v>103297.875</v>
      </c>
      <c r="AY27" s="180">
        <f>AX27/AX28</f>
        <v>0.25320069233307607</v>
      </c>
      <c r="AZ27" s="176"/>
      <c r="BA27" s="181">
        <f>'INN Rollups 2021'!Q63</f>
        <v>698778.20000000007</v>
      </c>
      <c r="BB27" s="182">
        <f>BA27/BA28</f>
        <v>0.41608570346728468</v>
      </c>
      <c r="BC27" s="176"/>
      <c r="BD27" s="181">
        <f>'INN Rollups 2021'!Q78</f>
        <v>77785.5</v>
      </c>
      <c r="BE27" s="182">
        <f>BD27/BD28</f>
        <v>0.28243305639486999</v>
      </c>
      <c r="BF27" s="176"/>
      <c r="BG27" s="181">
        <f>'INN Rollups 2021'!Q93</f>
        <v>632100.79999999993</v>
      </c>
      <c r="BH27" s="182">
        <f>BG27/BG28</f>
        <v>0.76460649366735822</v>
      </c>
      <c r="BI27" s="176"/>
      <c r="BJ27" s="181">
        <f>'INN Rollups 2021'!W18</f>
        <v>4277100.2787500015</v>
      </c>
      <c r="BK27" s="180">
        <f>BJ27/BJ28</f>
        <v>0.40072190717694151</v>
      </c>
      <c r="BL27" s="176"/>
      <c r="BM27" s="181">
        <f>'INN Rollups 2021'!W33</f>
        <v>940124.27777777764</v>
      </c>
      <c r="BN27" s="180">
        <f>BM27/BM28</f>
        <v>0.41955637381924554</v>
      </c>
      <c r="BO27" s="176"/>
      <c r="BP27" s="181">
        <f>'INN Rollups 2021'!W48</f>
        <v>832988.39249999996</v>
      </c>
      <c r="BQ27" s="180">
        <f>BP27/BP28</f>
        <v>0.37712701906585777</v>
      </c>
      <c r="BR27" s="176"/>
      <c r="BS27" s="181">
        <f>'INN Rollups 2021'!W63</f>
        <v>1023359.307826087</v>
      </c>
      <c r="BT27" s="182">
        <f>BS27/BS28</f>
        <v>0.49313946209149206</v>
      </c>
      <c r="BU27" s="176"/>
      <c r="BV27" s="181">
        <f>'INN Rollups 2021'!W78</f>
        <v>2143724.1333333333</v>
      </c>
      <c r="BW27" s="182">
        <f>BV27/BV28</f>
        <v>0.44020052290395489</v>
      </c>
      <c r="BX27" s="176"/>
      <c r="BY27" s="181">
        <f>'INN Rollups 2021'!W93</f>
        <v>1513210.125</v>
      </c>
      <c r="BZ27" s="182">
        <f>BY27/BY28</f>
        <v>0.24645425113637418</v>
      </c>
      <c r="CA27" s="176"/>
      <c r="CB27" s="181">
        <f>'Hub Data'!$F$4*Assumptions!B33</f>
        <v>379215.2</v>
      </c>
      <c r="CC27" s="180">
        <f>CB27/CB28</f>
        <v>0.4</v>
      </c>
      <c r="CD27" s="176"/>
      <c r="CE27" s="181">
        <f>(AVERAGE('Hub Data'!$F$2,'Hub Data'!$F$3))*Assumptions!B33</f>
        <v>319683.80000000005</v>
      </c>
      <c r="CF27" s="180">
        <f>CE27/CE28</f>
        <v>0.40000000000000008</v>
      </c>
      <c r="CG27" s="176"/>
      <c r="CH27" s="181">
        <f>AVERAGEIF('Public Radio Data'!$C$2:$C$9,"Small",'Public Radio Data'!J2:J9)</f>
        <v>288688.5</v>
      </c>
      <c r="CI27" s="180">
        <f>CH27/CH28</f>
        <v>0.36721458486372005</v>
      </c>
      <c r="CJ27" s="176"/>
      <c r="CK27" s="181">
        <f>AVERAGEIF('Public Radio Data'!C2:C9,"Medium",'Public Radio Data'!J2:J9)</f>
        <v>930657</v>
      </c>
      <c r="CL27" s="180">
        <f>CK27/CK28</f>
        <v>0.27385905303126717</v>
      </c>
      <c r="CM27" s="176"/>
      <c r="CN27" s="181">
        <f>AVERAGEIF('Public Radio Data'!C2:C9,"Large",'Public Radio Data'!J2:J9)</f>
        <v>783601.5</v>
      </c>
      <c r="CO27" s="180">
        <f>CN27/CN28</f>
        <v>0.16554131812339121</v>
      </c>
      <c r="CP27" s="176"/>
    </row>
    <row r="28" spans="1:94" s="133" customFormat="1" x14ac:dyDescent="0.2">
      <c r="A28" s="133">
        <f t="shared" si="0"/>
        <v>23</v>
      </c>
      <c r="C28" s="133" t="s">
        <v>255</v>
      </c>
      <c r="D28" s="304"/>
      <c r="E28" s="305">
        <f>0.79*E23</f>
        <v>63200</v>
      </c>
      <c r="F28" s="306"/>
      <c r="G28" s="215"/>
      <c r="H28" s="201">
        <f>SUM(H26:H27)</f>
        <v>638944.56196078483</v>
      </c>
      <c r="I28" s="306">
        <f>SUM(I26:I27)</f>
        <v>1</v>
      </c>
      <c r="J28" s="215"/>
      <c r="K28" s="248">
        <f>SUM(K26:K27)</f>
        <v>475302.17190476187</v>
      </c>
      <c r="L28" s="298">
        <f>SUM(L26:L27)</f>
        <v>1</v>
      </c>
      <c r="M28" s="307"/>
      <c r="N28" s="248">
        <f>SUM(N26:N27)</f>
        <v>345713.1083333334</v>
      </c>
      <c r="O28" s="165">
        <f>SUM(O26:O27)</f>
        <v>0.99999999999999989</v>
      </c>
      <c r="P28" s="302"/>
      <c r="Q28" s="248">
        <f>SUM(Q26:Q27)</f>
        <v>317443.9454166668</v>
      </c>
      <c r="R28" s="165">
        <f>SUM(R26:R27)</f>
        <v>1</v>
      </c>
      <c r="S28" s="302"/>
      <c r="T28" s="248">
        <f>SUM(T26:T27)</f>
        <v>387678.05499999993</v>
      </c>
      <c r="U28" s="165">
        <f>SUM(U26:U27)</f>
        <v>1</v>
      </c>
      <c r="V28" s="302"/>
      <c r="W28" s="248">
        <f>SUM(W26:W27)</f>
        <v>890444.5318750001</v>
      </c>
      <c r="X28" s="165">
        <f>SUM(X26:X27)</f>
        <v>1</v>
      </c>
      <c r="Y28" s="302"/>
      <c r="Z28" s="248">
        <f>SUM(Z26:Z27)</f>
        <v>1089760.4998333331</v>
      </c>
      <c r="AA28" s="298">
        <f>SUM(AA26:AA27)</f>
        <v>0.99999999999999989</v>
      </c>
      <c r="AB28" s="302"/>
      <c r="AC28" s="248">
        <f>SUM(AC26:AC27)</f>
        <v>1403909.490434783</v>
      </c>
      <c r="AD28" s="298">
        <f>SUM(AD26:AD27)</f>
        <v>1</v>
      </c>
      <c r="AE28" s="302"/>
      <c r="AF28" s="248">
        <f>SUM(AF26:AF27)</f>
        <v>766889.625</v>
      </c>
      <c r="AG28" s="298">
        <f>SUM(AG26:AG27)</f>
        <v>1</v>
      </c>
      <c r="AH28" s="302"/>
      <c r="AI28" s="248">
        <f>SUM(AI26:AI27)</f>
        <v>1310833.5860818715</v>
      </c>
      <c r="AJ28" s="298">
        <f>SUM(AJ26:AJ27)</f>
        <v>1</v>
      </c>
      <c r="AK28" s="302"/>
      <c r="AL28" s="248">
        <f>SUM(AL26:AL27)</f>
        <v>1323938.3459999999</v>
      </c>
      <c r="AM28" s="298">
        <f>SUM(AM26:AM27)</f>
        <v>1</v>
      </c>
      <c r="AN28" s="302"/>
      <c r="AO28" s="248">
        <f>SUM(AO26:AO27)</f>
        <v>889420.01500000013</v>
      </c>
      <c r="AP28" s="298">
        <f>SUM(AP26:AP27)</f>
        <v>1</v>
      </c>
      <c r="AQ28" s="302"/>
      <c r="AR28" s="248">
        <f>SUM(AR26:AR27)</f>
        <v>3324102.600000001</v>
      </c>
      <c r="AS28" s="298">
        <f>SUM(AS26:AS27)</f>
        <v>1</v>
      </c>
      <c r="AT28" s="302"/>
      <c r="AU28" s="248">
        <f>SUM(AU26:AU27)</f>
        <v>336976.25</v>
      </c>
      <c r="AV28" s="298">
        <f>SUM(AV26:AV27)</f>
        <v>1</v>
      </c>
      <c r="AW28" s="302"/>
      <c r="AX28" s="248">
        <f>SUM(AX26:AX27)</f>
        <v>407968.375</v>
      </c>
      <c r="AY28" s="298">
        <f>SUM(AY26:AY27)</f>
        <v>1</v>
      </c>
      <c r="AZ28" s="302"/>
      <c r="BA28" s="248">
        <f>SUM(BA26:BA27)</f>
        <v>1679409.2999999998</v>
      </c>
      <c r="BB28" s="298">
        <f>SUM(BB26:BB27)</f>
        <v>1</v>
      </c>
      <c r="BC28" s="302"/>
      <c r="BD28" s="248">
        <f>SUM(BD26:BD27)</f>
        <v>275412.16666666669</v>
      </c>
      <c r="BE28" s="298">
        <f>SUM(BE26:BE27)</f>
        <v>1</v>
      </c>
      <c r="BF28" s="302"/>
      <c r="BG28" s="248">
        <f>SUM(BG26:BG27)</f>
        <v>826700.79999999993</v>
      </c>
      <c r="BH28" s="298">
        <f>SUM(BH26:BH27)</f>
        <v>1</v>
      </c>
      <c r="BI28" s="302"/>
      <c r="BJ28" s="248">
        <f>SUM(BJ26:BJ27)</f>
        <v>10673487.528750002</v>
      </c>
      <c r="BK28" s="298">
        <f>SUM(BK26:BK27)</f>
        <v>1</v>
      </c>
      <c r="BL28" s="302"/>
      <c r="BM28" s="248">
        <f>SUM(BM26:BM27)</f>
        <v>2240757.9444444445</v>
      </c>
      <c r="BN28" s="298">
        <f>SUM(BN26:BN27)</f>
        <v>1</v>
      </c>
      <c r="BO28" s="302"/>
      <c r="BP28" s="248">
        <f>SUM(BP26:BP27)</f>
        <v>2208774.1010000003</v>
      </c>
      <c r="BQ28" s="298">
        <f>SUM(BQ26:BQ27)</f>
        <v>1</v>
      </c>
      <c r="BR28" s="302"/>
      <c r="BS28" s="248">
        <f>SUM(BS26:BS27)</f>
        <v>2075192.4891304346</v>
      </c>
      <c r="BT28" s="298">
        <f>SUM(BT26:BT27)</f>
        <v>1</v>
      </c>
      <c r="BU28" s="302"/>
      <c r="BV28" s="248">
        <f>SUM(BV26:BV27)</f>
        <v>4869880.9333333336</v>
      </c>
      <c r="BW28" s="298">
        <f>SUM(BW26:BW27)</f>
        <v>1</v>
      </c>
      <c r="BX28" s="302"/>
      <c r="BY28" s="248">
        <f>SUM(BY26:BY27)</f>
        <v>6139923</v>
      </c>
      <c r="BZ28" s="298">
        <f>SUM(BZ26:BZ27)</f>
        <v>1</v>
      </c>
      <c r="CA28" s="302"/>
      <c r="CB28" s="308">
        <f>SUM(CB26:CB27)</f>
        <v>948038</v>
      </c>
      <c r="CC28" s="298">
        <f>SUM(CC26:CC27)</f>
        <v>1</v>
      </c>
      <c r="CD28" s="302"/>
      <c r="CE28" s="308">
        <f>SUM(CE26:CE27)</f>
        <v>799209.5</v>
      </c>
      <c r="CF28" s="298">
        <f>SUM(CF26:CF27)</f>
        <v>1</v>
      </c>
      <c r="CG28" s="302"/>
      <c r="CH28" s="308">
        <f>SUM(CH26:CH27)</f>
        <v>786157.5</v>
      </c>
      <c r="CI28" s="298">
        <f>SUM(CI26:CI27)</f>
        <v>1</v>
      </c>
      <c r="CJ28" s="302"/>
      <c r="CK28" s="308">
        <f>SUM(CK26:CK27)</f>
        <v>3398306.5</v>
      </c>
      <c r="CL28" s="298">
        <f>SUM(CL26:CL27)</f>
        <v>1</v>
      </c>
      <c r="CM28" s="302"/>
      <c r="CN28" s="308">
        <f>SUM(CN26:CN27)</f>
        <v>4733570.5</v>
      </c>
      <c r="CO28" s="298">
        <f>SUM(CO26:CO27)</f>
        <v>1</v>
      </c>
      <c r="CP28" s="302"/>
    </row>
    <row r="29" spans="1:94" x14ac:dyDescent="0.2">
      <c r="A29" s="134">
        <f t="shared" si="0"/>
        <v>24</v>
      </c>
      <c r="D29" s="193"/>
      <c r="F29" s="189"/>
      <c r="I29" s="189"/>
      <c r="L29" s="189"/>
      <c r="AA29" s="173"/>
      <c r="AD29" s="173"/>
      <c r="AG29" s="173"/>
      <c r="AS29" s="173"/>
      <c r="AV29" s="173"/>
      <c r="AY29" s="173"/>
      <c r="BK29" s="173"/>
      <c r="BN29" s="173"/>
      <c r="BQ29" s="173"/>
      <c r="CC29" s="173"/>
      <c r="CF29" s="173"/>
      <c r="CI29" s="173"/>
      <c r="CL29" s="173"/>
      <c r="CO29" s="173"/>
    </row>
    <row r="30" spans="1:94" x14ac:dyDescent="0.2">
      <c r="A30" s="134">
        <f t="shared" si="0"/>
        <v>25</v>
      </c>
      <c r="B30" s="133" t="s">
        <v>256</v>
      </c>
      <c r="C30" s="133"/>
      <c r="E30" s="169"/>
      <c r="F30" s="189"/>
      <c r="I30" s="189"/>
      <c r="L30" s="189"/>
      <c r="AA30" s="173"/>
      <c r="AD30" s="173"/>
      <c r="AG30" s="173"/>
      <c r="AS30" s="173"/>
      <c r="AV30" s="173"/>
      <c r="AY30" s="173"/>
      <c r="BK30" s="173"/>
      <c r="BN30" s="173"/>
      <c r="BQ30" s="173"/>
      <c r="CC30" s="173"/>
      <c r="CF30" s="173"/>
      <c r="CI30" s="173"/>
      <c r="CL30" s="173"/>
      <c r="CO30" s="173"/>
    </row>
    <row r="31" spans="1:94" x14ac:dyDescent="0.2">
      <c r="A31" s="134">
        <f t="shared" si="0"/>
        <v>26</v>
      </c>
      <c r="B31" s="133"/>
      <c r="C31" s="133" t="s">
        <v>112</v>
      </c>
      <c r="E31" s="195">
        <f>0.6*E33</f>
        <v>3</v>
      </c>
      <c r="F31" s="175"/>
      <c r="G31" s="176"/>
      <c r="H31" s="196">
        <f>'INN Rollups 2021'!E21</f>
        <v>5.3500000000000023</v>
      </c>
      <c r="I31" s="175">
        <f>H31/H$33</f>
        <v>0.64703562508216139</v>
      </c>
      <c r="J31" s="176"/>
      <c r="K31" s="196">
        <f>'INN Rollups 2021'!E36</f>
        <v>4.7613636363636394</v>
      </c>
      <c r="L31" s="175">
        <f>K31/K33</f>
        <v>0.69326479737033697</v>
      </c>
      <c r="N31" s="196">
        <f>'INN Rollups 2021'!E51</f>
        <v>2.4166666666666665</v>
      </c>
      <c r="O31" s="164">
        <f>N31/N33</f>
        <v>0.29546612328069277</v>
      </c>
      <c r="P31" s="176"/>
      <c r="Q31" s="196">
        <f>'INN Rollups 2021'!E66</f>
        <v>3.684782608695655</v>
      </c>
      <c r="R31" s="164">
        <f>Q31/Q33</f>
        <v>0.55057605440795832</v>
      </c>
      <c r="S31" s="176"/>
      <c r="T31" s="196">
        <f>'INN Rollups 2021'!E81</f>
        <v>4.6108695652173886</v>
      </c>
      <c r="U31" s="164">
        <f>T31/T33</f>
        <v>0.69470254615663063</v>
      </c>
      <c r="V31" s="176"/>
      <c r="W31" s="196">
        <f>'INN Rollups 2021'!E96</f>
        <v>6.0189189189189216</v>
      </c>
      <c r="X31" s="164">
        <f>W31/W33</f>
        <v>0.64999192148728024</v>
      </c>
      <c r="Y31" s="176"/>
      <c r="Z31" s="196">
        <f>'INN Rollups 2021'!K21</f>
        <v>7.3055555555555509</v>
      </c>
      <c r="AA31" s="173">
        <f>Z31/Z33</f>
        <v>0.66576329739710494</v>
      </c>
      <c r="AB31" s="176"/>
      <c r="AC31" s="196">
        <f>'INN Rollups 2021'!K36</f>
        <v>9.0800000000000054</v>
      </c>
      <c r="AD31" s="173">
        <f>AC31/AC33</f>
        <v>0.66102466102466118</v>
      </c>
      <c r="AE31" s="176"/>
      <c r="AF31" s="196">
        <f>'INN Rollups 2021'!K51</f>
        <v>5.4428571428571431</v>
      </c>
      <c r="AG31" s="173">
        <f>AF31/AF33</f>
        <v>0.43164652567975836</v>
      </c>
      <c r="AH31" s="176"/>
      <c r="AI31" s="196">
        <f>'INN Rollups 2021'!K66</f>
        <v>9.448888888888888</v>
      </c>
      <c r="AJ31" s="164">
        <f>AI31/AI33</f>
        <v>0.67739365939142904</v>
      </c>
      <c r="AK31" s="176"/>
      <c r="AL31" s="196">
        <f>'INN Rollups 2021'!K81</f>
        <v>8.4130434782608727</v>
      </c>
      <c r="AM31" s="164">
        <f>AL31/AL33</f>
        <v>0.61575178997613378</v>
      </c>
      <c r="AN31" s="176"/>
      <c r="AO31" s="196">
        <f>'INN Rollups 2021'!K96</f>
        <v>5.9361111111111136</v>
      </c>
      <c r="AP31" s="164">
        <f>AO31/AO33</f>
        <v>0.64877321778489239</v>
      </c>
      <c r="AQ31" s="176"/>
      <c r="AR31" s="196">
        <f>'INN Rollups 2021'!Q21</f>
        <v>13.609999999999998</v>
      </c>
      <c r="AS31" s="173">
        <f>AR31/AR33</f>
        <v>0.49428000726348281</v>
      </c>
      <c r="AT31" s="176"/>
      <c r="AU31" s="196">
        <f>'INN Rollups 2021'!Q36</f>
        <v>6.1363636363636376</v>
      </c>
      <c r="AV31" s="173">
        <f>AU31/AU33</f>
        <v>0.6905370843989771</v>
      </c>
      <c r="AW31" s="176"/>
      <c r="AX31" s="196">
        <f>'INN Rollups 2021'!Q51</f>
        <v>4.9285714285714297</v>
      </c>
      <c r="AY31" s="173">
        <f>AX31/AX33</f>
        <v>0.73796791443850274</v>
      </c>
      <c r="AZ31" s="176"/>
      <c r="BA31" s="196">
        <f>'INN Rollups 2021'!Q66</f>
        <v>13.862500000000002</v>
      </c>
      <c r="BB31" s="164">
        <f>BA31/BA33</f>
        <v>0.61948385655234051</v>
      </c>
      <c r="BC31" s="176"/>
      <c r="BD31" s="196">
        <f>'INN Rollups 2021'!Q81</f>
        <v>3.1111111111111112</v>
      </c>
      <c r="BE31" s="164">
        <f>BD31/BD33</f>
        <v>0.6534422403733956</v>
      </c>
      <c r="BF31" s="176"/>
      <c r="BG31" s="196">
        <f>'INN Rollups 2021'!Q96</f>
        <v>6.25</v>
      </c>
      <c r="BH31" s="164">
        <f>BG31/BG33</f>
        <v>0.36101083032490977</v>
      </c>
      <c r="BI31" s="176"/>
      <c r="BJ31" s="196">
        <f>'INN Rollups 2021'!W21</f>
        <v>39.25</v>
      </c>
      <c r="BK31" s="173">
        <f>BJ31/BJ33</f>
        <v>0.80395025603511339</v>
      </c>
      <c r="BL31" s="176"/>
      <c r="BM31" s="196">
        <f>'INN Rollups 2021'!W36</f>
        <v>12.789999999999996</v>
      </c>
      <c r="BN31" s="173">
        <f>BM31/BM33</f>
        <v>0.60394286388856089</v>
      </c>
      <c r="BO31" s="176"/>
      <c r="BP31" s="196">
        <f>'INN Rollups 2021'!W51</f>
        <v>11.392500000000005</v>
      </c>
      <c r="BQ31" s="173">
        <f>BP31/BP33</f>
        <v>0.57372120063097554</v>
      </c>
      <c r="BR31" s="176"/>
      <c r="BS31" s="196">
        <f>'INN Rollups 2021'!W66</f>
        <v>11.964583333333335</v>
      </c>
      <c r="BT31" s="164">
        <f>BS31/BS33</f>
        <v>0.58210324721396822</v>
      </c>
      <c r="BU31" s="176"/>
      <c r="BV31" s="196">
        <f>'INN Rollups 2021'!W81</f>
        <v>17</v>
      </c>
      <c r="BW31" s="164">
        <f>BV31/BV33</f>
        <v>0.70663469224620312</v>
      </c>
      <c r="BX31" s="176"/>
      <c r="BY31" s="196">
        <f>'INN Rollups 2021'!W96</f>
        <v>29.8125</v>
      </c>
      <c r="BZ31" s="164">
        <f>BY31/BY33</f>
        <v>0.72569602921040621</v>
      </c>
      <c r="CA31" s="176"/>
      <c r="CB31" s="196">
        <v>0</v>
      </c>
      <c r="CC31" s="173">
        <f>CB31/CB33</f>
        <v>0</v>
      </c>
      <c r="CD31" s="176"/>
      <c r="CE31" s="196">
        <f>AVERAGE('Hub Data'!$G$2,'Hub Data'!$G$3)*Assumptions!B32</f>
        <v>6</v>
      </c>
      <c r="CF31" s="173">
        <f>CE31/CE33</f>
        <v>0.6</v>
      </c>
      <c r="CG31" s="176"/>
      <c r="CH31" s="196">
        <f>0.6*CH33</f>
        <v>6.6654213695636555</v>
      </c>
      <c r="CI31" s="173">
        <f>CH31/CH33</f>
        <v>0.6</v>
      </c>
      <c r="CJ31" s="176"/>
      <c r="CK31" s="196">
        <f>0.6*CK33</f>
        <v>15.618828585621223</v>
      </c>
      <c r="CL31" s="173">
        <f>CK31/CK33</f>
        <v>0.6</v>
      </c>
      <c r="CM31" s="176"/>
      <c r="CN31" s="196">
        <f>0.6*CN33</f>
        <v>18.794457026485585</v>
      </c>
      <c r="CO31" s="173">
        <f>CN31/CN33</f>
        <v>0.6</v>
      </c>
      <c r="CP31" s="176"/>
    </row>
    <row r="32" spans="1:94" x14ac:dyDescent="0.2">
      <c r="A32" s="134">
        <f t="shared" si="0"/>
        <v>27</v>
      </c>
      <c r="B32" s="133"/>
      <c r="C32" s="178" t="s">
        <v>113</v>
      </c>
      <c r="D32" s="192"/>
      <c r="E32" s="197">
        <f>0.4*E33</f>
        <v>2</v>
      </c>
      <c r="F32" s="180"/>
      <c r="G32" s="176"/>
      <c r="H32" s="198">
        <f>'INN Rollups 2021'!E22</f>
        <v>2.9184782608695636</v>
      </c>
      <c r="I32" s="180">
        <f>H32/H$33</f>
        <v>0.35296437491783861</v>
      </c>
      <c r="J32" s="176"/>
      <c r="K32" s="198">
        <f>'INN Rollups 2021'!E37</f>
        <v>2.1066666666666674</v>
      </c>
      <c r="L32" s="180">
        <f>K32/K33</f>
        <v>0.30673520262966308</v>
      </c>
      <c r="N32" s="198">
        <f>'INN Rollups 2021'!E52</f>
        <v>5.7625000000000011</v>
      </c>
      <c r="O32" s="182">
        <f>N32/N33</f>
        <v>0.70453387671930723</v>
      </c>
      <c r="P32" s="176"/>
      <c r="Q32" s="198">
        <f>'INN Rollups 2021'!E67</f>
        <v>3.0078125</v>
      </c>
      <c r="R32" s="182">
        <f>Q32/Q33</f>
        <v>0.44942394559204163</v>
      </c>
      <c r="S32" s="176"/>
      <c r="T32" s="198">
        <f>'INN Rollups 2021'!E82</f>
        <v>2.0263157894736845</v>
      </c>
      <c r="U32" s="182">
        <f>T32/T33</f>
        <v>0.30529745384336926</v>
      </c>
      <c r="V32" s="176"/>
      <c r="W32" s="198">
        <f>'INN Rollups 2021'!E97</f>
        <v>3.2410714285714297</v>
      </c>
      <c r="X32" s="182">
        <f>W32/W33</f>
        <v>0.3500080785127197</v>
      </c>
      <c r="Y32" s="176"/>
      <c r="Z32" s="198">
        <f>'INN Rollups 2021'!K22</f>
        <v>3.6676470588235324</v>
      </c>
      <c r="AA32" s="180">
        <f>Z32/Z33</f>
        <v>0.33423670260289506</v>
      </c>
      <c r="AB32" s="176"/>
      <c r="AC32" s="198">
        <f>'INN Rollups 2021'!K37</f>
        <v>4.65625</v>
      </c>
      <c r="AD32" s="180">
        <f>AC32/AC33</f>
        <v>0.33897533897533882</v>
      </c>
      <c r="AE32" s="176"/>
      <c r="AF32" s="198">
        <f>'INN Rollups 2021'!K52</f>
        <v>7.1666666666666661</v>
      </c>
      <c r="AG32" s="180">
        <f>AF32/AF33</f>
        <v>0.56835347432024164</v>
      </c>
      <c r="AH32" s="176"/>
      <c r="AI32" s="198">
        <f>'INN Rollups 2021'!K67</f>
        <v>4.5</v>
      </c>
      <c r="AJ32" s="182">
        <f>AI32/AI33</f>
        <v>0.32260634060857102</v>
      </c>
      <c r="AK32" s="176"/>
      <c r="AL32" s="198">
        <f>'INN Rollups 2021'!K82</f>
        <v>5.25</v>
      </c>
      <c r="AM32" s="182">
        <f>AL32/AL33</f>
        <v>0.38424821002386628</v>
      </c>
      <c r="AN32" s="176"/>
      <c r="AO32" s="198">
        <f>'INN Rollups 2021'!K97</f>
        <v>3.2136363636363625</v>
      </c>
      <c r="AP32" s="182">
        <f>AO32/AO33</f>
        <v>0.35122678221510756</v>
      </c>
      <c r="AQ32" s="176"/>
      <c r="AR32" s="198">
        <f>'INN Rollups 2021'!Q22</f>
        <v>13.925000000000001</v>
      </c>
      <c r="AS32" s="180">
        <f>AR32/AR33</f>
        <v>0.50571999273651724</v>
      </c>
      <c r="AT32" s="176"/>
      <c r="AU32" s="198">
        <f>'INN Rollups 2021'!Q37</f>
        <v>2.75</v>
      </c>
      <c r="AV32" s="180">
        <f>AU32/AU33</f>
        <v>0.30946291560102301</v>
      </c>
      <c r="AW32" s="176"/>
      <c r="AX32" s="198">
        <f>'INN Rollups 2021'!Q52</f>
        <v>1.75</v>
      </c>
      <c r="AY32" s="180">
        <f>AX32/AX33</f>
        <v>0.26203208556149726</v>
      </c>
      <c r="AZ32" s="176"/>
      <c r="BA32" s="198">
        <f>'INN Rollups 2021'!Q67</f>
        <v>8.5150000000000006</v>
      </c>
      <c r="BB32" s="182">
        <f>BA32/BA33</f>
        <v>0.38051614344765944</v>
      </c>
      <c r="BC32" s="176"/>
      <c r="BD32" s="198">
        <f>'INN Rollups 2021'!Q82</f>
        <v>1.6500000000000001</v>
      </c>
      <c r="BE32" s="182">
        <f>BD32/BD33</f>
        <v>0.34655775962660446</v>
      </c>
      <c r="BF32" s="176"/>
      <c r="BG32" s="198">
        <f>'INN Rollups 2021'!Q97</f>
        <v>11.0625</v>
      </c>
      <c r="BH32" s="182">
        <f>BG32/BG33</f>
        <v>0.63898916967509023</v>
      </c>
      <c r="BI32" s="176"/>
      <c r="BJ32" s="198">
        <f>'INN Rollups 2021'!W22</f>
        <v>9.5714285714285712</v>
      </c>
      <c r="BK32" s="180">
        <f>BJ32/BJ33</f>
        <v>0.19604974396488661</v>
      </c>
      <c r="BL32" s="176"/>
      <c r="BM32" s="198">
        <f>'INN Rollups 2021'!W37</f>
        <v>8.3874999999999993</v>
      </c>
      <c r="BN32" s="180">
        <f>BM32/BM33</f>
        <v>0.39605713611143911</v>
      </c>
      <c r="BO32" s="176"/>
      <c r="BP32" s="198">
        <f>'INN Rollups 2021'!W52</f>
        <v>8.4647058823529431</v>
      </c>
      <c r="BQ32" s="180">
        <f>BP32/BP33</f>
        <v>0.42627879936902435</v>
      </c>
      <c r="BR32" s="176"/>
      <c r="BS32" s="198">
        <f>'INN Rollups 2021'!W67</f>
        <v>8.5894736842105299</v>
      </c>
      <c r="BT32" s="182">
        <f>BS32/BS33</f>
        <v>0.41789675278603178</v>
      </c>
      <c r="BU32" s="176"/>
      <c r="BV32" s="198">
        <f>'INN Rollups 2021'!W82</f>
        <v>7.0576923076923075</v>
      </c>
      <c r="BW32" s="182">
        <f>BV32/BV33</f>
        <v>0.29336530775379699</v>
      </c>
      <c r="BX32" s="176"/>
      <c r="BY32" s="198">
        <f>'INN Rollups 2021'!W97</f>
        <v>11.268749999999999</v>
      </c>
      <c r="BZ32" s="182">
        <f>BY32/BY33</f>
        <v>0.27430397078959379</v>
      </c>
      <c r="CA32" s="176"/>
      <c r="CB32" s="198">
        <f>'Hub Data'!$G$4</f>
        <v>3</v>
      </c>
      <c r="CC32" s="180">
        <f>CB32/CB33</f>
        <v>1</v>
      </c>
      <c r="CD32" s="176"/>
      <c r="CE32" s="198">
        <f>AVERAGE('Hub Data'!$G$2,'Hub Data'!$G$3)*Assumptions!B33</f>
        <v>4</v>
      </c>
      <c r="CF32" s="180">
        <f>CE32/CE33</f>
        <v>0.4</v>
      </c>
      <c r="CG32" s="176"/>
      <c r="CH32" s="198">
        <f>0.4*CH33</f>
        <v>4.4436142463757706</v>
      </c>
      <c r="CI32" s="180">
        <f>CH32/CH33</f>
        <v>0.4</v>
      </c>
      <c r="CJ32" s="176"/>
      <c r="CK32" s="198">
        <f>0.4*CK33</f>
        <v>10.412552390414149</v>
      </c>
      <c r="CL32" s="180">
        <f>CK32/CK33</f>
        <v>0.4</v>
      </c>
      <c r="CM32" s="176"/>
      <c r="CN32" s="198">
        <f>0.4*CN33</f>
        <v>12.529638017657058</v>
      </c>
      <c r="CO32" s="180">
        <f>CN32/CN33</f>
        <v>0.4</v>
      </c>
      <c r="CP32" s="176"/>
    </row>
    <row r="33" spans="1:94" s="133" customFormat="1" x14ac:dyDescent="0.2">
      <c r="A33" s="133">
        <f t="shared" si="0"/>
        <v>28</v>
      </c>
      <c r="C33" s="133" t="s">
        <v>257</v>
      </c>
      <c r="E33" s="312">
        <v>5</v>
      </c>
      <c r="F33" s="306"/>
      <c r="G33" s="215"/>
      <c r="H33" s="313">
        <f>SUM(H31:H32)</f>
        <v>8.2684782608695659</v>
      </c>
      <c r="I33" s="306">
        <f>SUM(I31:I32)</f>
        <v>1</v>
      </c>
      <c r="J33" s="215"/>
      <c r="K33" s="313">
        <f>SUM(K31:K32)</f>
        <v>6.8680303030303067</v>
      </c>
      <c r="L33" s="298">
        <f t="shared" ref="L33:BY33" si="49">SUM(L31:L32)</f>
        <v>1</v>
      </c>
      <c r="M33" s="313"/>
      <c r="N33" s="313">
        <f t="shared" si="49"/>
        <v>8.1791666666666671</v>
      </c>
      <c r="O33" s="165">
        <f t="shared" si="49"/>
        <v>1</v>
      </c>
      <c r="P33" s="302"/>
      <c r="Q33" s="313">
        <f t="shared" si="49"/>
        <v>6.692595108695655</v>
      </c>
      <c r="R33" s="165">
        <f t="shared" si="49"/>
        <v>1</v>
      </c>
      <c r="S33" s="302"/>
      <c r="T33" s="313">
        <f t="shared" si="49"/>
        <v>6.6371853546910735</v>
      </c>
      <c r="U33" s="165">
        <f t="shared" si="49"/>
        <v>0.99999999999999989</v>
      </c>
      <c r="V33" s="302"/>
      <c r="W33" s="313">
        <f t="shared" si="49"/>
        <v>9.2599903474903513</v>
      </c>
      <c r="X33" s="165">
        <f t="shared" si="49"/>
        <v>1</v>
      </c>
      <c r="Y33" s="302"/>
      <c r="Z33" s="313">
        <f t="shared" si="49"/>
        <v>10.973202614379083</v>
      </c>
      <c r="AA33" s="298">
        <f t="shared" si="49"/>
        <v>1</v>
      </c>
      <c r="AB33" s="302"/>
      <c r="AC33" s="313">
        <f t="shared" si="49"/>
        <v>13.736250000000005</v>
      </c>
      <c r="AD33" s="298">
        <f t="shared" si="49"/>
        <v>1</v>
      </c>
      <c r="AE33" s="302"/>
      <c r="AF33" s="313">
        <f t="shared" si="49"/>
        <v>12.609523809523809</v>
      </c>
      <c r="AG33" s="298">
        <f t="shared" si="49"/>
        <v>1</v>
      </c>
      <c r="AH33" s="302"/>
      <c r="AI33" s="313">
        <f t="shared" si="49"/>
        <v>13.948888888888888</v>
      </c>
      <c r="AJ33" s="298">
        <f t="shared" si="49"/>
        <v>1</v>
      </c>
      <c r="AK33" s="302"/>
      <c r="AL33" s="313">
        <f t="shared" si="49"/>
        <v>13.663043478260873</v>
      </c>
      <c r="AM33" s="298">
        <f t="shared" si="49"/>
        <v>1</v>
      </c>
      <c r="AN33" s="302"/>
      <c r="AO33" s="313">
        <f t="shared" si="49"/>
        <v>9.1497474747474765</v>
      </c>
      <c r="AP33" s="298">
        <f t="shared" si="49"/>
        <v>1</v>
      </c>
      <c r="AQ33" s="298"/>
      <c r="AR33" s="313">
        <f t="shared" si="49"/>
        <v>27.534999999999997</v>
      </c>
      <c r="AS33" s="298">
        <f t="shared" si="49"/>
        <v>1</v>
      </c>
      <c r="AT33" s="302"/>
      <c r="AU33" s="313">
        <f t="shared" si="49"/>
        <v>8.8863636363636367</v>
      </c>
      <c r="AV33" s="298">
        <f t="shared" si="49"/>
        <v>1</v>
      </c>
      <c r="AW33" s="302"/>
      <c r="AX33" s="313">
        <f t="shared" si="49"/>
        <v>6.6785714285714297</v>
      </c>
      <c r="AY33" s="298">
        <f t="shared" si="49"/>
        <v>1</v>
      </c>
      <c r="AZ33" s="302"/>
      <c r="BA33" s="313">
        <f t="shared" si="49"/>
        <v>22.377500000000005</v>
      </c>
      <c r="BB33" s="298">
        <f t="shared" si="49"/>
        <v>1</v>
      </c>
      <c r="BC33" s="302"/>
      <c r="BD33" s="313">
        <f t="shared" si="49"/>
        <v>4.7611111111111111</v>
      </c>
      <c r="BE33" s="298">
        <f t="shared" si="49"/>
        <v>1</v>
      </c>
      <c r="BF33" s="302"/>
      <c r="BG33" s="313">
        <f t="shared" si="49"/>
        <v>17.3125</v>
      </c>
      <c r="BH33" s="298">
        <f t="shared" si="49"/>
        <v>1</v>
      </c>
      <c r="BI33" s="302"/>
      <c r="BJ33" s="313">
        <f t="shared" si="49"/>
        <v>48.821428571428569</v>
      </c>
      <c r="BK33" s="298">
        <f t="shared" si="49"/>
        <v>1</v>
      </c>
      <c r="BL33" s="302"/>
      <c r="BM33" s="313">
        <f t="shared" si="49"/>
        <v>21.177499999999995</v>
      </c>
      <c r="BN33" s="298">
        <f t="shared" si="49"/>
        <v>1</v>
      </c>
      <c r="BO33" s="302"/>
      <c r="BP33" s="313">
        <f t="shared" si="49"/>
        <v>19.85720588235295</v>
      </c>
      <c r="BQ33" s="298">
        <f t="shared" si="49"/>
        <v>0.99999999999999989</v>
      </c>
      <c r="BR33" s="302"/>
      <c r="BS33" s="313">
        <f t="shared" si="49"/>
        <v>20.554057017543865</v>
      </c>
      <c r="BT33" s="298">
        <f t="shared" si="49"/>
        <v>1</v>
      </c>
      <c r="BU33" s="302"/>
      <c r="BV33" s="313">
        <f t="shared" si="49"/>
        <v>24.057692307692307</v>
      </c>
      <c r="BW33" s="298">
        <f t="shared" si="49"/>
        <v>1</v>
      </c>
      <c r="BX33" s="302"/>
      <c r="BY33" s="313">
        <f t="shared" si="49"/>
        <v>41.081249999999997</v>
      </c>
      <c r="BZ33" s="298">
        <f t="shared" ref="BZ33" si="50">SUM(BZ31:BZ32)</f>
        <v>1</v>
      </c>
      <c r="CA33" s="302"/>
      <c r="CB33" s="313">
        <f t="shared" ref="CB33" si="51">SUM(CB31:CB32)</f>
        <v>3</v>
      </c>
      <c r="CC33" s="298">
        <f t="shared" ref="CC33" si="52">SUM(CC31:CC32)</f>
        <v>1</v>
      </c>
      <c r="CD33" s="302"/>
      <c r="CE33" s="313">
        <f t="shared" ref="CE33" si="53">SUM(CE31:CE32)</f>
        <v>10</v>
      </c>
      <c r="CF33" s="298">
        <f t="shared" ref="CF33" si="54">SUM(CF31:CF32)</f>
        <v>1</v>
      </c>
      <c r="CG33" s="302"/>
      <c r="CH33" s="313">
        <f>AVERAGEIF('Public Radio Data'!C2:C9,"Small",'Public Radio Data'!N2:N9)</f>
        <v>11.109035615939426</v>
      </c>
      <c r="CI33" s="298">
        <f t="shared" ref="CI33" si="55">SUM(CI31:CI32)</f>
        <v>1</v>
      </c>
      <c r="CJ33" s="302"/>
      <c r="CK33" s="313">
        <f>AVERAGEIF('Public Radio Data'!C2:C9,"Medium",'Public Radio Data'!N2:N9)</f>
        <v>26.031380976035372</v>
      </c>
      <c r="CL33" s="298">
        <f t="shared" ref="CL33" si="56">SUM(CL31:CL32)</f>
        <v>1</v>
      </c>
      <c r="CM33" s="302"/>
      <c r="CN33" s="313">
        <f>AVERAGEIF('Public Radio Data'!C2:C9,"Large",'Public Radio Data'!N2:N9)</f>
        <v>31.324095044142645</v>
      </c>
      <c r="CO33" s="298">
        <f t="shared" ref="CO33" si="57">SUM(CO31:CO32)</f>
        <v>1</v>
      </c>
      <c r="CP33" s="302"/>
    </row>
    <row r="34" spans="1:94" x14ac:dyDescent="0.2">
      <c r="A34" s="134">
        <f t="shared" si="0"/>
        <v>29</v>
      </c>
      <c r="AA34" s="164"/>
      <c r="AS34" s="173"/>
      <c r="AV34" s="164"/>
      <c r="AY34" s="173"/>
      <c r="BK34" s="173"/>
      <c r="BQ34" s="173"/>
      <c r="CC34" s="173"/>
      <c r="CF34" s="173"/>
      <c r="CI34" s="173"/>
      <c r="CL34" s="173"/>
      <c r="CO34" s="173"/>
    </row>
    <row r="35" spans="1:94" x14ac:dyDescent="0.2">
      <c r="A35" s="134">
        <f t="shared" si="0"/>
        <v>30</v>
      </c>
      <c r="B35" s="133" t="s">
        <v>258</v>
      </c>
      <c r="AS35" s="173"/>
      <c r="AV35" s="164"/>
      <c r="BK35" s="173"/>
    </row>
    <row r="36" spans="1:94" x14ac:dyDescent="0.2">
      <c r="A36" s="134">
        <f t="shared" si="0"/>
        <v>31</v>
      </c>
      <c r="C36" s="133" t="s">
        <v>259</v>
      </c>
      <c r="E36" s="191">
        <f>E26/E31</f>
        <v>12640</v>
      </c>
      <c r="F36" s="191"/>
      <c r="G36" s="191"/>
      <c r="H36" s="191">
        <f>H26/H31</f>
        <v>72469.212754260589</v>
      </c>
      <c r="I36" s="191"/>
      <c r="J36" s="191"/>
      <c r="K36" s="191">
        <f>K26/K31</f>
        <v>58816.460888737325</v>
      </c>
      <c r="L36" s="191"/>
      <c r="M36" s="191"/>
      <c r="N36" s="191">
        <f>N26/N31</f>
        <v>80920.137931034493</v>
      </c>
      <c r="O36" s="191"/>
      <c r="P36" s="191"/>
      <c r="Q36" s="191">
        <f>Q26/Q31</f>
        <v>52030.943190757127</v>
      </c>
      <c r="R36" s="191"/>
      <c r="S36" s="191"/>
      <c r="T36" s="191">
        <f>T26/T31</f>
        <v>57235.566542368528</v>
      </c>
      <c r="U36" s="191"/>
      <c r="V36" s="191"/>
      <c r="W36" s="191">
        <f>W26/W31</f>
        <v>85253.438943926754</v>
      </c>
      <c r="X36" s="191"/>
      <c r="Y36" s="191"/>
      <c r="Z36" s="191">
        <f>Z26/Z31</f>
        <v>95107.805361216757</v>
      </c>
      <c r="AA36" s="191"/>
      <c r="AB36" s="191"/>
      <c r="AC36" s="191">
        <f>AC26/AC31</f>
        <v>91978.816175062224</v>
      </c>
      <c r="AD36" s="191"/>
      <c r="AE36" s="191"/>
      <c r="AF36" s="191">
        <f>AF26/AF31</f>
        <v>104050.15419947506</v>
      </c>
      <c r="AG36" s="191"/>
      <c r="AH36" s="191"/>
      <c r="AI36" s="191">
        <f>AI26/AI31</f>
        <v>77479.255409219229</v>
      </c>
      <c r="AJ36" s="191"/>
      <c r="AK36" s="191"/>
      <c r="AL36" s="191">
        <f>AL26/AL31</f>
        <v>114436.17473126612</v>
      </c>
      <c r="AM36" s="191"/>
      <c r="AN36" s="191"/>
      <c r="AO36" s="191">
        <f>AO26/AO31</f>
        <v>83201.183107159552</v>
      </c>
      <c r="AP36" s="191"/>
      <c r="AQ36" s="191"/>
      <c r="AR36" s="191">
        <f>AR26/AR31</f>
        <v>121755.16531961798</v>
      </c>
      <c r="AS36" s="191"/>
      <c r="AT36" s="191"/>
      <c r="AU36" s="191">
        <f>AU26/AU31</f>
        <v>25305.459259259253</v>
      </c>
      <c r="AV36" s="199"/>
      <c r="AW36" s="191"/>
      <c r="AX36" s="191">
        <f>AX26/AX31</f>
        <v>61817.202898550713</v>
      </c>
      <c r="AY36" s="191"/>
      <c r="AZ36" s="191"/>
      <c r="BA36" s="191">
        <f>BA26/BA31</f>
        <v>70739.844905320075</v>
      </c>
      <c r="BB36" s="191"/>
      <c r="BC36" s="191"/>
      <c r="BD36" s="191">
        <f>BD26/BD31</f>
        <v>63522.857142857145</v>
      </c>
      <c r="BE36" s="191"/>
      <c r="BF36" s="191"/>
      <c r="BG36" s="191">
        <f>BG26/BG31</f>
        <v>31136</v>
      </c>
      <c r="BH36" s="191"/>
      <c r="BI36" s="191"/>
      <c r="BJ36" s="191">
        <f>BJ26/BJ31</f>
        <v>162965.28025477708</v>
      </c>
      <c r="BK36" s="191"/>
      <c r="BL36" s="191"/>
      <c r="BM36" s="191">
        <f>BM26/BM31</f>
        <v>101691.45165493881</v>
      </c>
      <c r="BN36" s="191"/>
      <c r="BO36" s="191"/>
      <c r="BP36" s="191">
        <f>BP26/BP31</f>
        <v>120762.40583717356</v>
      </c>
      <c r="BS36" s="191">
        <f>BS26/BS31</f>
        <v>87912.228282445896</v>
      </c>
      <c r="BT36" s="191"/>
      <c r="BU36" s="191"/>
      <c r="BV36" s="191">
        <f>BV26/BV31</f>
        <v>160362.16470588234</v>
      </c>
      <c r="BW36" s="191"/>
      <c r="BX36" s="191"/>
      <c r="BY36" s="191">
        <f>BY26/BY31</f>
        <v>155193.72327044024</v>
      </c>
      <c r="BZ36" s="191"/>
      <c r="CA36" s="191"/>
      <c r="CB36" s="191">
        <v>0</v>
      </c>
      <c r="CE36" s="191">
        <f>CE26/CE31</f>
        <v>79920.95</v>
      </c>
      <c r="CH36" s="191">
        <f>CH26/CH31</f>
        <v>74634.291280007441</v>
      </c>
      <c r="CK36" s="191">
        <f>CK26/CK31</f>
        <v>157991.97017065232</v>
      </c>
      <c r="CN36" s="191">
        <f>CN26/CN31</f>
        <v>210166.69938554821</v>
      </c>
    </row>
    <row r="37" spans="1:94" x14ac:dyDescent="0.2">
      <c r="A37" s="134">
        <f t="shared" si="0"/>
        <v>32</v>
      </c>
      <c r="C37" s="133" t="s">
        <v>260</v>
      </c>
      <c r="E37" s="191">
        <f>E27/E32</f>
        <v>12640</v>
      </c>
      <c r="F37" s="191"/>
      <c r="G37" s="191"/>
      <c r="H37" s="191">
        <f>H27/H32</f>
        <v>86083.99695622026</v>
      </c>
      <c r="I37" s="191"/>
      <c r="J37" s="191"/>
      <c r="K37" s="191">
        <f>K27/K32</f>
        <v>92684.626808318208</v>
      </c>
      <c r="L37" s="191"/>
      <c r="M37" s="191"/>
      <c r="N37" s="191">
        <f>N27/N32</f>
        <v>26057.459146782359</v>
      </c>
      <c r="O37" s="191"/>
      <c r="P37" s="191"/>
      <c r="Q37" s="191">
        <f>Q27/Q32</f>
        <v>41798.2273939394</v>
      </c>
      <c r="R37" s="191"/>
      <c r="S37" s="191"/>
      <c r="T37" s="191">
        <f>T27/T32</f>
        <v>61082.445206611585</v>
      </c>
      <c r="U37" s="191"/>
      <c r="V37" s="191"/>
      <c r="W37" s="191">
        <f>W27/W32</f>
        <v>116415.5137052342</v>
      </c>
      <c r="X37" s="191"/>
      <c r="Y37" s="191"/>
      <c r="Z37" s="191">
        <f>Z27/Z32</f>
        <v>107683.51961507607</v>
      </c>
      <c r="AA37" s="191"/>
      <c r="AB37" s="191"/>
      <c r="AC37" s="191">
        <f>AC27/AC32</f>
        <v>122145.8984301138</v>
      </c>
      <c r="AD37" s="191"/>
      <c r="AE37" s="191"/>
      <c r="AF37" s="191">
        <f>AF27/AF32</f>
        <v>27985.046511627908</v>
      </c>
      <c r="AG37" s="191"/>
      <c r="AH37" s="191"/>
      <c r="AI37" s="191">
        <f>AI27/AI32</f>
        <v>128609.04678362572</v>
      </c>
      <c r="AJ37" s="191"/>
      <c r="AK37" s="191"/>
      <c r="AL37" s="191">
        <f>AL27/AL32</f>
        <v>68796.539523809479</v>
      </c>
      <c r="AM37" s="191"/>
      <c r="AN37" s="191"/>
      <c r="AO37" s="191">
        <f>AO27/AO32</f>
        <v>123078.19016973133</v>
      </c>
      <c r="AP37" s="191"/>
      <c r="AQ37" s="191"/>
      <c r="AR37" s="191">
        <f>AR27/AR32</f>
        <v>119713.80969479357</v>
      </c>
      <c r="AS37" s="191"/>
      <c r="AT37" s="191"/>
      <c r="AU37" s="191">
        <f>AU27/AU32</f>
        <v>66070.090909090912</v>
      </c>
      <c r="AV37" s="191"/>
      <c r="AW37" s="191"/>
      <c r="AX37" s="191">
        <f>AX27/AX32</f>
        <v>59027.357142857145</v>
      </c>
      <c r="AY37" s="191"/>
      <c r="AZ37" s="191"/>
      <c r="BA37" s="191">
        <f>BA27/BA32</f>
        <v>82064.38050499119</v>
      </c>
      <c r="BB37" s="191"/>
      <c r="BC37" s="191"/>
      <c r="BD37" s="191">
        <f>BD27/BD32</f>
        <v>47142.727272727272</v>
      </c>
      <c r="BE37" s="191"/>
      <c r="BF37" s="191"/>
      <c r="BG37" s="191">
        <f>BG27/BG32</f>
        <v>57139.055367231631</v>
      </c>
      <c r="BH37" s="191"/>
      <c r="BI37" s="191"/>
      <c r="BJ37" s="191">
        <f>BJ27/BJ32</f>
        <v>446861.22315298521</v>
      </c>
      <c r="BK37" s="191"/>
      <c r="BL37" s="191"/>
      <c r="BM37" s="191">
        <f>BM27/BM32</f>
        <v>112086.35204504056</v>
      </c>
      <c r="BN37" s="191"/>
      <c r="BO37" s="191"/>
      <c r="BP37" s="191">
        <f>BP27/BP32</f>
        <v>98407.245813064597</v>
      </c>
      <c r="BS37" s="191">
        <f>BS27/BS32</f>
        <v>119141.09588661547</v>
      </c>
      <c r="BT37" s="191"/>
      <c r="BU37" s="191"/>
      <c r="BV37" s="191">
        <f>BV27/BV32</f>
        <v>303742.92897366034</v>
      </c>
      <c r="BW37" s="191"/>
      <c r="BX37" s="191"/>
      <c r="BY37" s="191">
        <f>BY27/BY32</f>
        <v>134283.76039933445</v>
      </c>
      <c r="BZ37" s="191"/>
      <c r="CA37" s="191"/>
      <c r="CB37" s="191">
        <f>CB27/CB32</f>
        <v>126405.06666666667</v>
      </c>
      <c r="CE37" s="191">
        <f>CE27/CE32</f>
        <v>79920.950000000012</v>
      </c>
      <c r="CH37" s="191">
        <f>CH27/CH32</f>
        <v>64967.047991498242</v>
      </c>
      <c r="CK37" s="191">
        <f>CK27/CK32</f>
        <v>89378.37382280716</v>
      </c>
      <c r="CN37" s="191">
        <f>CN27/CN32</f>
        <v>62539.835460188915</v>
      </c>
    </row>
    <row r="38" spans="1:94" x14ac:dyDescent="0.2">
      <c r="A38" s="134">
        <f t="shared" si="0"/>
        <v>33</v>
      </c>
      <c r="C38" s="133" t="s">
        <v>261</v>
      </c>
      <c r="E38" s="196">
        <f>E32/E31</f>
        <v>0.66666666666666663</v>
      </c>
      <c r="H38" s="196">
        <f>H32/H31</f>
        <v>0.54550995530272195</v>
      </c>
      <c r="K38" s="196">
        <f>K32/K31</f>
        <v>0.44245027844073176</v>
      </c>
      <c r="N38" s="196">
        <f>N32/N31</f>
        <v>2.38448275862069</v>
      </c>
      <c r="Q38" s="196">
        <f>Q32/Q31</f>
        <v>0.81627949852507309</v>
      </c>
      <c r="T38" s="196">
        <f>T32/T31</f>
        <v>0.43946499913149245</v>
      </c>
      <c r="W38" s="196">
        <f>W32/W31</f>
        <v>0.5384806594393482</v>
      </c>
      <c r="Z38" s="196">
        <f>Z32/Z31</f>
        <v>0.50203533885036977</v>
      </c>
      <c r="AC38" s="196">
        <f>AC32/AC31</f>
        <v>0.51280286343612302</v>
      </c>
      <c r="AF38" s="196">
        <f>AF32/AF31</f>
        <v>1.3167104111986001</v>
      </c>
      <c r="AI38" s="196">
        <f>AI32/AI31</f>
        <v>0.47624647224835376</v>
      </c>
      <c r="AL38" s="196">
        <f>AL32/AL31</f>
        <v>0.62403100775193776</v>
      </c>
      <c r="AO38" s="196">
        <f>AO32/AO31</f>
        <v>0.54137065554941044</v>
      </c>
      <c r="AR38" s="196">
        <f>AR32/AR31</f>
        <v>1.0231447465099195</v>
      </c>
      <c r="AU38" s="196">
        <f>AU32/AU31</f>
        <v>0.44814814814814807</v>
      </c>
      <c r="AX38" s="196">
        <f>AX32/AX31</f>
        <v>0.35507246376811585</v>
      </c>
      <c r="BA38" s="196">
        <f>BA32/BA31</f>
        <v>0.61424706943192053</v>
      </c>
      <c r="BD38" s="196">
        <f>BD32/BD31</f>
        <v>0.53035714285714286</v>
      </c>
      <c r="BG38" s="196">
        <f>BG32/BG31</f>
        <v>1.77</v>
      </c>
      <c r="BJ38" s="196">
        <f>BJ32/BJ31</f>
        <v>0.24385805277525022</v>
      </c>
      <c r="BM38" s="196">
        <f>BM32/BM31</f>
        <v>0.6557857701329165</v>
      </c>
      <c r="BP38" s="196">
        <f>BP32/BP31</f>
        <v>0.74300688017142325</v>
      </c>
      <c r="BS38" s="196">
        <f>BS32/BS31</f>
        <v>0.71790830026485353</v>
      </c>
      <c r="BV38" s="196">
        <f>BV32/BV31</f>
        <v>0.41515837104072395</v>
      </c>
      <c r="BY38" s="196">
        <f>BY32/BY31</f>
        <v>0.37798742138364777</v>
      </c>
      <c r="CB38" s="316" t="s">
        <v>262</v>
      </c>
      <c r="CE38" s="196">
        <f>CE32/CE31</f>
        <v>0.66666666666666663</v>
      </c>
      <c r="CH38" s="196">
        <f>CH32/CH31</f>
        <v>0.66666666666666674</v>
      </c>
      <c r="CK38" s="196">
        <f>CK32/CK31</f>
        <v>0.66666666666666663</v>
      </c>
      <c r="CN38" s="196">
        <f>CN32/CN31</f>
        <v>0.66666666666666674</v>
      </c>
    </row>
  </sheetData>
  <pageMargins left="0.7" right="0.7" top="0.75" bottom="0.75" header="0.3" footer="0.3"/>
  <pageSetup scale="43" orientation="portrait" horizontalDpi="1200" verticalDpi="1200" r:id="rId1"/>
  <colBreaks count="1" manualBreakCount="1">
    <brk id="43" max="37" man="1"/>
  </colBreaks>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02516-C747-4FA8-8645-10219597711E}">
  <sheetPr>
    <tabColor theme="7" tint="0.39997558519241921"/>
  </sheetPr>
  <dimension ref="A1:W101"/>
  <sheetViews>
    <sheetView view="pageBreakPreview" zoomScale="130" zoomScaleNormal="115" zoomScaleSheetLayoutView="130" workbookViewId="0"/>
  </sheetViews>
  <sheetFormatPr defaultColWidth="9.140625" defaultRowHeight="12" x14ac:dyDescent="0.2"/>
  <cols>
    <col min="1" max="1" width="3.85546875" style="134" customWidth="1"/>
    <col min="2" max="2" width="37.140625" style="134" bestFit="1" customWidth="1"/>
    <col min="3" max="3" width="15.28515625" style="134" bestFit="1" customWidth="1"/>
    <col min="4" max="4" width="9.140625" style="134" customWidth="1"/>
    <col min="5" max="5" width="12.5703125" style="134" bestFit="1" customWidth="1"/>
    <col min="6" max="6" width="5.7109375" style="134" customWidth="1"/>
    <col min="7" max="7" width="3.5703125" style="134" customWidth="1"/>
    <col min="8" max="8" width="24.85546875" style="134" customWidth="1"/>
    <col min="9" max="9" width="15.28515625" style="134" bestFit="1" customWidth="1"/>
    <col min="10" max="10" width="9.140625" style="134"/>
    <col min="11" max="11" width="14.28515625" style="134" bestFit="1" customWidth="1"/>
    <col min="12" max="12" width="5.7109375" style="134" customWidth="1"/>
    <col min="13" max="13" width="3.85546875" style="134" customWidth="1"/>
    <col min="14" max="14" width="27.140625" style="134" customWidth="1"/>
    <col min="15" max="15" width="15.28515625" style="134" bestFit="1" customWidth="1"/>
    <col min="16" max="16" width="6.140625" style="134" bestFit="1" customWidth="1"/>
    <col min="17" max="17" width="14.28515625" style="134" bestFit="1" customWidth="1"/>
    <col min="18" max="18" width="5.7109375" style="134" customWidth="1"/>
    <col min="19" max="19" width="3.7109375" style="134" customWidth="1"/>
    <col min="20" max="20" width="28.85546875" style="134" customWidth="1"/>
    <col min="21" max="21" width="15.28515625" style="134" bestFit="1" customWidth="1"/>
    <col min="22" max="22" width="9.140625" style="134"/>
    <col min="23" max="23" width="15.28515625" style="134" bestFit="1" customWidth="1"/>
    <col min="24" max="16384" width="9.140625" style="134"/>
  </cols>
  <sheetData>
    <row r="1" spans="1:23" x14ac:dyDescent="0.2">
      <c r="A1" s="133" t="s">
        <v>941</v>
      </c>
    </row>
    <row r="2" spans="1:23" x14ac:dyDescent="0.2">
      <c r="A2" s="133" t="s">
        <v>2</v>
      </c>
    </row>
    <row r="3" spans="1:23" x14ac:dyDescent="0.2">
      <c r="A3" s="135" t="str">
        <f>INSTRUCTIONS!A3</f>
        <v>March 2022</v>
      </c>
    </row>
    <row r="4" spans="1:23" x14ac:dyDescent="0.2">
      <c r="A4" s="133" t="s">
        <v>263</v>
      </c>
    </row>
    <row r="6" spans="1:23" x14ac:dyDescent="0.2">
      <c r="A6" s="133" t="s">
        <v>264</v>
      </c>
      <c r="C6" s="133">
        <f>C8+I8+O8+U8</f>
        <v>234</v>
      </c>
    </row>
    <row r="8" spans="1:23" x14ac:dyDescent="0.2">
      <c r="A8" s="133" t="s">
        <v>265</v>
      </c>
      <c r="C8" s="133">
        <f>C10+C25+C40</f>
        <v>92</v>
      </c>
      <c r="G8" s="133" t="s">
        <v>266</v>
      </c>
      <c r="I8" s="133">
        <f>I10+I25+I40</f>
        <v>63</v>
      </c>
      <c r="M8" s="133" t="s">
        <v>267</v>
      </c>
      <c r="N8" s="133"/>
      <c r="O8" s="133">
        <f>O10+O25+O40</f>
        <v>30</v>
      </c>
      <c r="S8" s="133" t="s">
        <v>268</v>
      </c>
      <c r="T8" s="133"/>
      <c r="U8" s="133">
        <f>U10+U25+U40</f>
        <v>49</v>
      </c>
    </row>
    <row r="9" spans="1:23" s="156" customFormat="1" ht="12.75" thickBot="1" x14ac:dyDescent="0.25"/>
    <row r="10" spans="1:23" x14ac:dyDescent="0.2">
      <c r="A10" s="133" t="s">
        <v>120</v>
      </c>
      <c r="C10" s="133">
        <f>COUNTIF(Table13[Scope/Sub-Type],'INN Rollups 2021'!A10)</f>
        <v>60</v>
      </c>
      <c r="E10" s="241"/>
      <c r="G10" s="133" t="s">
        <v>123</v>
      </c>
      <c r="I10" s="133">
        <f>COUNTIF(Table13[Scope/Sub-Type],'INN Rollups 2021'!G10)</f>
        <v>29</v>
      </c>
      <c r="M10" s="133" t="s">
        <v>126</v>
      </c>
      <c r="O10" s="133">
        <f>COUNTIF(Table13[Scope/Sub-Type],'INN Rollups 2021'!M10)</f>
        <v>11</v>
      </c>
      <c r="S10" s="133" t="s">
        <v>129</v>
      </c>
      <c r="U10" s="133">
        <f>COUNTIF(Table13[Scope/Sub-Type],'INN Rollups 2021'!S10)</f>
        <v>8</v>
      </c>
    </row>
    <row r="11" spans="1:23" x14ac:dyDescent="0.2">
      <c r="B11" s="133"/>
    </row>
    <row r="12" spans="1:23" x14ac:dyDescent="0.2">
      <c r="B12" s="133"/>
      <c r="C12" s="285" t="s">
        <v>269</v>
      </c>
      <c r="D12" s="285" t="s">
        <v>270</v>
      </c>
      <c r="E12" s="285" t="s">
        <v>271</v>
      </c>
      <c r="H12" s="133"/>
      <c r="I12" s="285" t="s">
        <v>269</v>
      </c>
      <c r="J12" s="285" t="s">
        <v>270</v>
      </c>
      <c r="K12" s="285" t="s">
        <v>271</v>
      </c>
      <c r="N12" s="133"/>
      <c r="O12" s="285" t="s">
        <v>269</v>
      </c>
      <c r="P12" s="285" t="s">
        <v>270</v>
      </c>
      <c r="Q12" s="285" t="s">
        <v>271</v>
      </c>
      <c r="T12" s="133"/>
      <c r="U12" s="285" t="s">
        <v>269</v>
      </c>
      <c r="V12" s="285" t="s">
        <v>270</v>
      </c>
      <c r="W12" s="285" t="s">
        <v>271</v>
      </c>
    </row>
    <row r="13" spans="1:23" x14ac:dyDescent="0.2">
      <c r="B13" s="134" t="s">
        <v>272</v>
      </c>
      <c r="C13" s="170">
        <f>SUMIF(Table13[Scope/Sub-Type],'INN Rollups 2021'!A10,Table13[agg_sub_type_Total Contributed Income])</f>
        <v>21462040.542857133</v>
      </c>
      <c r="D13" s="173">
        <f>C13/C15</f>
        <v>0.65813094599760291</v>
      </c>
      <c r="E13" s="191">
        <f>AVERAGEIFS(Table13[agg_sub_type_Total Contributed Income],Table13[Scope/Sub-Type],'INN Rollups 2021'!A10,Table13[agg_sub_type_Total Contributed Income],"&gt;0")</f>
        <v>357700.67571428552</v>
      </c>
      <c r="F13" s="164"/>
      <c r="H13" s="134" t="s">
        <v>272</v>
      </c>
      <c r="I13" s="170">
        <f>SUMIF(Table13[Scope/Sub-Type],'INN Rollups 2021'!G10,Table13[agg_sub_type_Total Contributed Income])</f>
        <v>22237590.061599996</v>
      </c>
      <c r="J13" s="173">
        <f>I13/I15</f>
        <v>0.43999075096664897</v>
      </c>
      <c r="K13" s="191">
        <f>AVERAGEIFS(Table13[agg_sub_type_Total Contributed Income],Table13[Scope/Sub-Type],'INN Rollups 2021'!G10,Table13[agg_sub_type_Total Contributed Income],"&gt;0")</f>
        <v>766813.45039999986</v>
      </c>
      <c r="L13" s="164"/>
      <c r="N13" s="134" t="s">
        <v>272</v>
      </c>
      <c r="O13" s="170">
        <f>SUMIF(Table13[Scope/Sub-Type],'INN Rollups 2021'!M10,Table13[agg_sub_type_Total Contributed Income])</f>
        <v>23498060.937999994</v>
      </c>
      <c r="P13" s="173">
        <f>O13/O15</f>
        <v>0.71766561306580945</v>
      </c>
      <c r="Q13" s="191">
        <f>AVERAGEIFS(Table13[agg_sub_type_Total Contributed Income],Table13[Scope/Sub-Type],'INN Rollups 2021'!M10,Table13[agg_sub_type_Total Contributed Income],"&gt;0")</f>
        <v>2136187.3579999995</v>
      </c>
      <c r="R13" s="164"/>
      <c r="T13" s="134" t="s">
        <v>272</v>
      </c>
      <c r="U13" s="170">
        <f>SUMIF(Table13[Scope/Sub-Type],'INN Rollups 2021'!S10,Table13[agg_sub_type_Total Contributed Income])</f>
        <v>52656780.480000004</v>
      </c>
      <c r="V13" s="173">
        <f>U13/U15</f>
        <v>0.97285476522517167</v>
      </c>
      <c r="W13" s="191">
        <f>AVERAGEIFS(Table13[agg_sub_type_Total Contributed Income],Table13[Scope/Sub-Type],'INN Rollups 2021'!S10,Table13[agg_sub_type_Total Contributed Income],"&gt;0")</f>
        <v>6582097.5600000005</v>
      </c>
    </row>
    <row r="14" spans="1:23" x14ac:dyDescent="0.2">
      <c r="B14" s="137" t="s">
        <v>273</v>
      </c>
      <c r="C14" s="181">
        <f>SUMIF(Table13[Scope/Sub-Type],'INN Rollups 2021'!A10,Table13[agg_sub_type_Total Earned Income])</f>
        <v>11148552.64285716</v>
      </c>
      <c r="D14" s="180">
        <f>C14/C15</f>
        <v>0.34186905400239703</v>
      </c>
      <c r="E14" s="250">
        <f>AVERAGEIFS(Table13[agg_sub_type_Total Earned Income],Table13[Scope/Sub-Type],'INN Rollups 2021'!A10,Table13[agg_sub_type_Total Earned Income],"&gt;0")</f>
        <v>185809.21071428602</v>
      </c>
      <c r="H14" s="137" t="s">
        <v>273</v>
      </c>
      <c r="I14" s="181">
        <f>SUMIF(Table13[Scope/Sub-Type],'INN Rollups 2021'!G10,Table13[agg_sub_type_Total Earned Income])</f>
        <v>28303449.75058822</v>
      </c>
      <c r="J14" s="180">
        <f>I14/I15</f>
        <v>0.56000924903335103</v>
      </c>
      <c r="K14" s="250">
        <f>AVERAGEIFS(Table13[agg_sub_type_Total Earned Income],Table13[Scope/Sub-Type],'INN Rollups 2021'!G10,Table13[agg_sub_type_Total Earned Income],"&gt;0")</f>
        <v>975981.02588235238</v>
      </c>
      <c r="N14" s="137" t="s">
        <v>273</v>
      </c>
      <c r="O14" s="181">
        <f>SUMIF(Table13[Scope/Sub-Type],'INN Rollups 2021'!M10,Table13[agg_sub_type_Total Earned Income])</f>
        <v>9244292.1999999993</v>
      </c>
      <c r="P14" s="180">
        <f>O14/O15</f>
        <v>0.28233438693419061</v>
      </c>
      <c r="Q14" s="250">
        <f>AVERAGEIFS(Table13[agg_sub_type_Total Earned Income],Table13[Scope/Sub-Type],'INN Rollups 2021'!M10,Table13[agg_sub_type_Total Earned Income],"&gt;0")</f>
        <v>840390.2</v>
      </c>
      <c r="T14" s="137" t="s">
        <v>273</v>
      </c>
      <c r="U14" s="181">
        <f>SUMIF(Table13[Scope/Sub-Type],'INN Rollups 2021'!S10,Table13[agg_sub_type_Total Earned Income])</f>
        <v>1469264.1899999997</v>
      </c>
      <c r="V14" s="180">
        <f>U14/U15</f>
        <v>2.7145234774828407E-2</v>
      </c>
      <c r="W14" s="250">
        <f>AVERAGEIFS(Table13[agg_sub_type_Total Earned Income],Table13[Scope/Sub-Type],'INN Rollups 2021'!S10,Table13[agg_sub_type_Total Earned Income],"&gt;0")</f>
        <v>183658.02374999996</v>
      </c>
    </row>
    <row r="15" spans="1:23" x14ac:dyDescent="0.2">
      <c r="B15" s="134" t="s">
        <v>274</v>
      </c>
      <c r="C15" s="170">
        <f>SUM(C13:C14)</f>
        <v>32610593.185714293</v>
      </c>
      <c r="D15" s="185">
        <f>SUM(D13:D14)</f>
        <v>1</v>
      </c>
      <c r="E15" s="191">
        <f>AVERAGEIFS(Table13[agg_sub_type_TOTAL INCOME],Table13[Scope/Sub-Type],'INN Rollups 2021'!A10,Table13[agg_sub_type_TOTAL INCOME],"&gt;0")</f>
        <v>506626.39919999993</v>
      </c>
      <c r="H15" s="134" t="s">
        <v>274</v>
      </c>
      <c r="I15" s="170">
        <f>SUM(I13:I14)</f>
        <v>50541039.812188216</v>
      </c>
      <c r="J15" s="185">
        <f>SUM(J13:J14)</f>
        <v>1</v>
      </c>
      <c r="K15" s="191">
        <f>AVERAGEIFS(Table13[agg_sub_type_TOTAL INCOME],Table13[Scope/Sub-Type],'INN Rollups 2021'!G10,Table13[agg_sub_type_TOTAL INCOME],"&gt;0")</f>
        <v>1430480.5480000002</v>
      </c>
      <c r="N15" s="134" t="s">
        <v>274</v>
      </c>
      <c r="O15" s="170">
        <f>SUM(O13:O14)</f>
        <v>32742353.137999993</v>
      </c>
      <c r="P15" s="185">
        <f>SUM(P13:P14)</f>
        <v>1</v>
      </c>
      <c r="Q15" s="191">
        <f>AVERAGEIFS(Table13[agg_sub_type_TOTAL INCOME],Table13[Scope/Sub-Type],'INN Rollups 2021'!M10,Table13[agg_sub_type_TOTAL INCOME],"&gt;0")</f>
        <v>2976577.5579999988</v>
      </c>
      <c r="T15" s="134" t="s">
        <v>274</v>
      </c>
      <c r="U15" s="170">
        <f>SUM(U13:U14)</f>
        <v>54126044.670000002</v>
      </c>
      <c r="V15" s="185">
        <f>SUM(V13:V14)</f>
        <v>1</v>
      </c>
      <c r="W15" s="191">
        <f>AVERAGEIFS(Table13[agg_sub_type_TOTAL INCOME],Table13[Scope/Sub-Type],'INN Rollups 2021'!S10,Table13[agg_sub_type_TOTAL INCOME],"&gt;0")</f>
        <v>6765755.5837500012</v>
      </c>
    </row>
    <row r="16" spans="1:23" x14ac:dyDescent="0.2">
      <c r="C16" s="191"/>
      <c r="E16" s="191"/>
      <c r="I16" s="191"/>
      <c r="K16" s="191"/>
      <c r="O16" s="191"/>
      <c r="Q16" s="191"/>
      <c r="U16" s="191"/>
      <c r="W16" s="191"/>
    </row>
    <row r="17" spans="1:23" x14ac:dyDescent="0.2">
      <c r="B17" s="134" t="s">
        <v>275</v>
      </c>
      <c r="C17" s="170">
        <f>SUMIF(Table13[Scope/Sub-Type],'INN Rollups 2021'!A10,Table13[agg_sub_type_Expenses - Editorial])</f>
        <v>23262617.294117659</v>
      </c>
      <c r="D17" s="173">
        <f>C17/C19</f>
        <v>0.60679800927563099</v>
      </c>
      <c r="E17" s="191">
        <f>AVERAGEIFS(Table13[agg_sub_type_Expenses - Editorial],Table13[Scope/Sub-Type],'INN Rollups 2021'!A10,Table13[agg_sub_type_Expenses - Editorial],"&gt;0")</f>
        <v>387710.28823529434</v>
      </c>
      <c r="H17" s="134" t="s">
        <v>275</v>
      </c>
      <c r="I17" s="170">
        <f>SUMIF(Table13[Scope/Sub-Type],'INN Rollups 2021'!G10,Table13[agg_sub_type_Expenses - Editorial])</f>
        <v>20149645.31916666</v>
      </c>
      <c r="J17" s="173">
        <f>I17/I19</f>
        <v>0.63758537397859205</v>
      </c>
      <c r="K17" s="191">
        <f>AVERAGEIFS(Table13[agg_sub_type_Expenses - Editorial],Table13[Scope/Sub-Type],'INN Rollups 2021'!G10,Table13[agg_sub_type_Expenses - Editorial],"&gt;0")</f>
        <v>694815.3558333331</v>
      </c>
      <c r="N17" s="134" t="s">
        <v>275</v>
      </c>
      <c r="O17" s="170">
        <f>SUMIF(Table13[Scope/Sub-Type],'INN Rollups 2021'!M10,Table13[agg_sub_type_Expenses - Editorial])</f>
        <v>18227965.800000004</v>
      </c>
      <c r="P17" s="173">
        <f>O17/O19</f>
        <v>0.49850681504235156</v>
      </c>
      <c r="Q17" s="191">
        <f>AVERAGEIFS(Table13[agg_sub_type_Expenses - Editorial],Table13[Scope/Sub-Type],'INN Rollups 2021'!M10,Table13[agg_sub_type_Expenses - Editorial],"&gt;0")</f>
        <v>1657087.8000000005</v>
      </c>
      <c r="T17" s="134" t="s">
        <v>275</v>
      </c>
      <c r="U17" s="170">
        <f>SUMIF(Table13[Scope/Sub-Type],'INN Rollups 2021'!S10,Table13[agg_sub_type_Expenses - Editorial])</f>
        <v>51171098</v>
      </c>
      <c r="V17" s="173">
        <f>U17/U19</f>
        <v>0.59927809282305844</v>
      </c>
      <c r="W17" s="191">
        <f>AVERAGEIFS(Table13[agg_sub_type_Expenses - Editorial],Table13[Scope/Sub-Type],'INN Rollups 2021'!S10,Table13[agg_sub_type_Expenses - Editorial],"&gt;0")</f>
        <v>6396387.25</v>
      </c>
    </row>
    <row r="18" spans="1:23" x14ac:dyDescent="0.2">
      <c r="B18" s="137" t="s">
        <v>276</v>
      </c>
      <c r="C18" s="181">
        <f>SUMIF(Table13[Scope/Sub-Type],'INN Rollups 2021'!A10,Table13[agg_sub_type_Expenses - Non-Editorial])</f>
        <v>15074056.423529431</v>
      </c>
      <c r="D18" s="180">
        <f>C18/C19</f>
        <v>0.39320199072436895</v>
      </c>
      <c r="E18" s="250">
        <f>AVERAGEIFS(Table13[agg_sub_type_Expenses - Non-Editorial],Table13[Scope/Sub-Type],'INN Rollups 2021'!A10,Table13[agg_sub_type_Expenses - Non-Editorial],"&gt;0")</f>
        <v>251234.27372549052</v>
      </c>
      <c r="H18" s="137" t="s">
        <v>276</v>
      </c>
      <c r="I18" s="181">
        <f>SUMIF(Table13[Scope/Sub-Type],'INN Rollups 2021'!G10,Table13[agg_sub_type_Expenses - Non-Editorial])</f>
        <v>11453409.175999997</v>
      </c>
      <c r="J18" s="180">
        <f>I18/I19</f>
        <v>0.36241462602140784</v>
      </c>
      <c r="K18" s="250">
        <f>AVERAGEIFS(Table13[agg_sub_type_Expenses - Non-Editorial],Table13[Scope/Sub-Type],'INN Rollups 2021'!G10,Table13[agg_sub_type_Expenses - Non-Editorial],"&gt;0")</f>
        <v>394945.14399999991</v>
      </c>
      <c r="N18" s="137" t="s">
        <v>276</v>
      </c>
      <c r="O18" s="181">
        <f>SUMIF(Table13[Scope/Sub-Type],'INN Rollups 2021'!M10,Table13[agg_sub_type_Expenses - Non-Editorial])</f>
        <v>18337162.800000004</v>
      </c>
      <c r="P18" s="180">
        <f>O18/O19</f>
        <v>0.50149318495764839</v>
      </c>
      <c r="Q18" s="250">
        <f>AVERAGEIFS(Table13[agg_sub_type_Expenses - Non-Editorial],Table13[Scope/Sub-Type],'INN Rollups 2021'!M10,Table13[agg_sub_type_Expenses - Non-Editorial],"&gt;0")</f>
        <v>1667014.8000000005</v>
      </c>
      <c r="T18" s="137" t="s">
        <v>276</v>
      </c>
      <c r="U18" s="181">
        <f>SUMIF(Table13[Scope/Sub-Type],'INN Rollups 2021'!S10,Table13[agg_sub_type_Expenses - Non-Editorial])</f>
        <v>34216802.230000012</v>
      </c>
      <c r="V18" s="180">
        <f>U18/U19</f>
        <v>0.40072190717694151</v>
      </c>
      <c r="W18" s="250">
        <f>AVERAGEIFS(Table13[agg_sub_type_Expenses - Non-Editorial],Table13[Scope/Sub-Type],'INN Rollups 2021'!S10,Table13[agg_sub_type_Expenses - Non-Editorial],"&gt;0")</f>
        <v>4277100.2787500015</v>
      </c>
    </row>
    <row r="19" spans="1:23" x14ac:dyDescent="0.2">
      <c r="B19" s="134" t="s">
        <v>277</v>
      </c>
      <c r="C19" s="170">
        <f>SUM(C17:C18)</f>
        <v>38336673.717647091</v>
      </c>
      <c r="D19" s="173">
        <f>SUM(D17:D18)</f>
        <v>1</v>
      </c>
      <c r="E19" s="191">
        <f>AVERAGEIFS(Table13[agg_sub_type_TOTAL EXPENSES],Table13[Scope/Sub-Type],'INN Rollups 2021'!A10,Table13[agg_sub_type_TOTAL EXPENSES],"&gt;0")</f>
        <v>638944.56196078414</v>
      </c>
      <c r="F19" s="241"/>
      <c r="H19" s="134" t="s">
        <v>277</v>
      </c>
      <c r="I19" s="170">
        <f>SUM(I17:I18)</f>
        <v>31603054.495166659</v>
      </c>
      <c r="J19" s="173">
        <f>SUM(J17:J18)</f>
        <v>0.99999999999999989</v>
      </c>
      <c r="K19" s="191">
        <f>AVERAGEIFS(Table13[agg_sub_type_TOTAL EXPENSES],Table13[Scope/Sub-Type],'INN Rollups 2021'!G10,Table13[agg_sub_type_TOTAL EXPENSES],"&gt;0")</f>
        <v>1061967.8856000004</v>
      </c>
      <c r="L19" s="241"/>
      <c r="N19" s="134" t="s">
        <v>277</v>
      </c>
      <c r="O19" s="170">
        <f>SUM(O17:O18)</f>
        <v>36565128.600000009</v>
      </c>
      <c r="P19" s="173">
        <f>SUM(P17:P18)</f>
        <v>1</v>
      </c>
      <c r="Q19" s="191">
        <f>AVERAGEIFS(Table13[agg_sub_type_TOTAL EXPENSES],Table13[Scope/Sub-Type],'INN Rollups 2021'!M10,Table13[agg_sub_type_TOTAL EXPENSES],"&gt;0")</f>
        <v>3324102.600000001</v>
      </c>
      <c r="R19" s="241"/>
      <c r="T19" s="134" t="s">
        <v>277</v>
      </c>
      <c r="U19" s="170">
        <f>SUM(U17:U18)</f>
        <v>85387900.230000019</v>
      </c>
      <c r="V19" s="173">
        <f>SUM(V17:V18)</f>
        <v>1</v>
      </c>
      <c r="W19" s="191">
        <f>AVERAGEIFS(Table13[agg_sub_type_TOTAL EXPENSES],Table13[Scope/Sub-Type],'INN Rollups 2021'!S10,Table13[agg_sub_type_TOTAL EXPENSES],"&gt;0")</f>
        <v>10673487.528750001</v>
      </c>
    </row>
    <row r="21" spans="1:23" x14ac:dyDescent="0.2">
      <c r="B21" s="134" t="s">
        <v>278</v>
      </c>
      <c r="C21" s="134">
        <f>SUMIF(Table13[Scope/Sub-Type],'INN Rollups 2021'!A10,Table13[agg_sub_type_Total FTE - Editorial])</f>
        <v>321.00000000000011</v>
      </c>
      <c r="D21" s="164">
        <f>C21/C23</f>
        <v>0.64703562508216139</v>
      </c>
      <c r="E21" s="196">
        <f>AVERAGEIFS(Table13[agg_sub_type_Total FTE - Editorial],Table13[Scope/Sub-Type],'INN Rollups 2021'!A10,Table13[agg_sub_type_Total FTE - Editorial],"&gt;0")</f>
        <v>5.3500000000000023</v>
      </c>
      <c r="H21" s="134" t="s">
        <v>278</v>
      </c>
      <c r="I21" s="134">
        <f>SUMIF(Table13[Scope/Sub-Type],'INN Rollups 2021'!G10,Table13[agg_sub_type_Total FTE - Editorial])</f>
        <v>211.86111111111097</v>
      </c>
      <c r="J21" s="164">
        <f>I21/I23</f>
        <v>0.66576329739710494</v>
      </c>
      <c r="K21" s="196">
        <f>AVERAGEIFS(Table13[agg_sub_type_Total FTE - Editorial],Table13[Scope/Sub-Type],'INN Rollups 2021'!G10,Table13[agg_sub_type_Total FTE - Editorial],"&gt;0")</f>
        <v>7.3055555555555509</v>
      </c>
      <c r="N21" s="134" t="s">
        <v>278</v>
      </c>
      <c r="O21" s="134">
        <f>SUMIF(Table13[Scope/Sub-Type],'INN Rollups 2021'!M10,Table13[agg_sub_type_Total FTE - Editorial])</f>
        <v>149.70999999999998</v>
      </c>
      <c r="P21" s="164">
        <f>O21/O23</f>
        <v>0.49428000726348281</v>
      </c>
      <c r="Q21" s="196">
        <f>AVERAGEIFS(Table13[agg_sub_type_Total FTE - Editorial],Table13[Scope/Sub-Type],'INN Rollups 2021'!M10,Table13[agg_sub_type_Total FTE - Editorial],"&gt;0")</f>
        <v>13.609999999999998</v>
      </c>
      <c r="T21" s="134" t="s">
        <v>278</v>
      </c>
      <c r="U21" s="134">
        <f>SUMIF(Table13[Scope/Sub-Type],'INN Rollups 2021'!S10,Table13[agg_sub_type_Total FTE - Editorial])</f>
        <v>314</v>
      </c>
      <c r="V21" s="164">
        <f>U21/U23</f>
        <v>0.80395025603511339</v>
      </c>
      <c r="W21" s="196">
        <f>AVERAGEIFS(Table13[agg_sub_type_Total FTE - Editorial],Table13[Scope/Sub-Type],'INN Rollups 2021'!S10,Table13[agg_sub_type_Total FTE - Editorial],"&gt;0")</f>
        <v>39.25</v>
      </c>
    </row>
    <row r="22" spans="1:23" x14ac:dyDescent="0.2">
      <c r="B22" s="137" t="s">
        <v>279</v>
      </c>
      <c r="C22" s="137">
        <f>SUMIF(Table13[Scope/Sub-Type],'INN Rollups 2021'!A10,Table13[agg_sub_type_Total FTE - Non-Editorial])</f>
        <v>175.10869565217382</v>
      </c>
      <c r="D22" s="182">
        <f>C22/C23</f>
        <v>0.35296437491783861</v>
      </c>
      <c r="E22" s="198">
        <f>AVERAGEIFS(Table13[agg_sub_type_Total FTE - Non-Editorial],Table13[Scope/Sub-Type],'INN Rollups 2021'!A10,Table13[agg_sub_type_Total FTE - Non-Editorial],"&gt;0")</f>
        <v>2.9184782608695636</v>
      </c>
      <c r="H22" s="137" t="s">
        <v>279</v>
      </c>
      <c r="I22" s="137">
        <f>SUMIF(Table13[Scope/Sub-Type],'INN Rollups 2021'!G10,Table13[agg_sub_type_Total FTE - Non-Editorial])</f>
        <v>106.36176470588244</v>
      </c>
      <c r="J22" s="182">
        <f>I22/I23</f>
        <v>0.33423670260289506</v>
      </c>
      <c r="K22" s="198">
        <f>AVERAGEIFS(Table13[agg_sub_type_Total FTE - Non-Editorial],Table13[Scope/Sub-Type],'INN Rollups 2021'!G10,Table13[agg_sub_type_Total FTE - Non-Editorial],"&gt;0")</f>
        <v>3.6676470588235324</v>
      </c>
      <c r="N22" s="137" t="s">
        <v>279</v>
      </c>
      <c r="O22" s="137">
        <f>SUMIF(Table13[Scope/Sub-Type],'INN Rollups 2021'!M10,Table13[agg_sub_type_Total FTE - Non-Editorial])</f>
        <v>153.17500000000001</v>
      </c>
      <c r="P22" s="182">
        <f>O22/O23</f>
        <v>0.50571999273651724</v>
      </c>
      <c r="Q22" s="198">
        <f>AVERAGEIFS(Table13[agg_sub_type_Total FTE - Non-Editorial],Table13[Scope/Sub-Type],'INN Rollups 2021'!M10,Table13[agg_sub_type_Total FTE - Non-Editorial],"&gt;0")</f>
        <v>13.925000000000001</v>
      </c>
      <c r="T22" s="137" t="s">
        <v>279</v>
      </c>
      <c r="U22" s="137">
        <f>SUMIF(Table13[Scope/Sub-Type],'INN Rollups 2021'!S10,Table13[agg_sub_type_Total FTE - Non-Editorial])</f>
        <v>76.571428571428569</v>
      </c>
      <c r="V22" s="182">
        <f>U22/U23</f>
        <v>0.19604974396488661</v>
      </c>
      <c r="W22" s="198">
        <f>AVERAGEIFS(Table13[agg_sub_type_Total FTE - Non-Editorial],Table13[Scope/Sub-Type],'INN Rollups 2021'!S10,Table13[agg_sub_type_Total FTE - Non-Editorial],"&gt;0")</f>
        <v>9.5714285714285712</v>
      </c>
    </row>
    <row r="23" spans="1:23" x14ac:dyDescent="0.2">
      <c r="B23" s="134" t="s">
        <v>280</v>
      </c>
      <c r="C23" s="134">
        <f>SUM(C21:C22)</f>
        <v>496.10869565217394</v>
      </c>
      <c r="D23" s="186">
        <f>SUM(D21:D22)</f>
        <v>1</v>
      </c>
      <c r="E23" s="196">
        <f>AVERAGEIFS(Table13[agg_sub_type_Total FTE],Table13[Scope/Sub-Type],'INN Rollups 2021'!A10,Table13[agg_sub_type_Total FTE],"&gt;0")</f>
        <v>7.6517857142857197</v>
      </c>
      <c r="H23" s="134" t="s">
        <v>280</v>
      </c>
      <c r="I23" s="134">
        <f>SUM(I21:I22)</f>
        <v>318.22287581699339</v>
      </c>
      <c r="J23" s="186">
        <f>SUM(J21:J22)</f>
        <v>1</v>
      </c>
      <c r="K23" s="196">
        <f>AVERAGEIFS(Table13[agg_sub_type_Total FTE],Table13[Scope/Sub-Type],'INN Rollups 2021'!G10,Table13[agg_sub_type_Total FTE],"&gt;0")</f>
        <v>9.6148148148148156</v>
      </c>
      <c r="N23" s="134" t="s">
        <v>280</v>
      </c>
      <c r="O23" s="134">
        <f>SUM(O21:O22)</f>
        <v>302.88499999999999</v>
      </c>
      <c r="P23" s="186">
        <f>SUM(P21:P22)</f>
        <v>1</v>
      </c>
      <c r="Q23" s="196">
        <f>AVERAGEIFS(Table13[agg_sub_type_Total FTE],Table13[Scope/Sub-Type],'INN Rollups 2021'!M10,Table13[agg_sub_type_Total FTE],"&gt;0")</f>
        <v>24.75</v>
      </c>
      <c r="T23" s="134" t="s">
        <v>280</v>
      </c>
      <c r="U23" s="134">
        <f>SUM(U21:U22)</f>
        <v>390.57142857142856</v>
      </c>
      <c r="V23" s="186">
        <f>SUM(V21:V22)</f>
        <v>1</v>
      </c>
      <c r="W23" s="196">
        <f>AVERAGEIFS(Table13[agg_sub_type_Total FTE],Table13[Scope/Sub-Type],'INN Rollups 2021'!S10,Table13[agg_sub_type_Total FTE],"&gt;0")</f>
        <v>47.625</v>
      </c>
    </row>
    <row r="25" spans="1:23" x14ac:dyDescent="0.2">
      <c r="A25" s="133" t="s">
        <v>121</v>
      </c>
      <c r="C25" s="133">
        <f>COUNTIF(Table13[Scope/Sub-Type],'INN Rollups 2021'!A25)</f>
        <v>25</v>
      </c>
      <c r="G25" s="133" t="s">
        <v>124</v>
      </c>
      <c r="I25" s="133">
        <f>COUNTIF(Table13[Scope/Sub-Type],'INN Rollups 2021'!G25)</f>
        <v>26</v>
      </c>
      <c r="M25" s="133" t="s">
        <v>127</v>
      </c>
      <c r="O25" s="133">
        <f>COUNTIF(Table13[Scope/Sub-Type],'INN Rollups 2021'!M25)</f>
        <v>11</v>
      </c>
      <c r="S25" s="133" t="s">
        <v>130</v>
      </c>
      <c r="U25" s="133">
        <f>COUNTIF(Table13[Scope/Sub-Type],'INN Rollups 2021'!S25)</f>
        <v>20</v>
      </c>
    </row>
    <row r="26" spans="1:23" x14ac:dyDescent="0.2">
      <c r="B26" s="133"/>
    </row>
    <row r="27" spans="1:23" x14ac:dyDescent="0.2">
      <c r="B27" s="133"/>
      <c r="C27" s="285" t="s">
        <v>269</v>
      </c>
      <c r="D27" s="285" t="s">
        <v>270</v>
      </c>
      <c r="E27" s="285" t="s">
        <v>271</v>
      </c>
      <c r="H27" s="133"/>
      <c r="I27" s="285" t="s">
        <v>269</v>
      </c>
      <c r="J27" s="285" t="s">
        <v>270</v>
      </c>
      <c r="K27" s="285" t="s">
        <v>271</v>
      </c>
      <c r="N27" s="133"/>
      <c r="O27" s="285" t="s">
        <v>269</v>
      </c>
      <c r="P27" s="285" t="s">
        <v>270</v>
      </c>
      <c r="Q27" s="285" t="s">
        <v>271</v>
      </c>
      <c r="T27" s="133"/>
      <c r="U27" s="285" t="s">
        <v>269</v>
      </c>
      <c r="V27" s="285" t="s">
        <v>270</v>
      </c>
      <c r="W27" s="285" t="s">
        <v>271</v>
      </c>
    </row>
    <row r="28" spans="1:23" x14ac:dyDescent="0.2">
      <c r="B28" s="134" t="s">
        <v>272</v>
      </c>
      <c r="C28" s="170">
        <f>SUMIF(Table13[Scope/Sub-Type],'INN Rollups 2021'!A25,Table13[agg_sub_type_Total Contributed Income])</f>
        <v>13774367.454545464</v>
      </c>
      <c r="D28" s="173">
        <f>C28/C30</f>
        <v>0.89040761199871454</v>
      </c>
      <c r="E28" s="191">
        <f>AVERAGEIFS(Table13[agg_sub_type_Total Contributed Income],Table13[Scope/Sub-Type],'INN Rollups 2021'!A25,Table13[agg_sub_type_Total Contributed Income],"&gt;0")</f>
        <v>550974.69818181859</v>
      </c>
      <c r="H28" s="134" t="s">
        <v>272</v>
      </c>
      <c r="I28" s="170">
        <f>SUMIF(Table13[Scope/Sub-Type],'INN Rollups 2021'!G25,Table13[agg_sub_type_Total Contributed Income])</f>
        <v>35018215.146086961</v>
      </c>
      <c r="J28" s="173">
        <f>I28/I30</f>
        <v>0.82823024514683474</v>
      </c>
      <c r="K28" s="191">
        <f>AVERAGEIFS(Table13[agg_sub_type_Total Contributed Income],Table13[Scope/Sub-Type],'INN Rollups 2021'!G25,Table13[agg_sub_type_Total Contributed Income],"&gt;0")</f>
        <v>1346854.4286956524</v>
      </c>
      <c r="N28" s="134" t="s">
        <v>272</v>
      </c>
      <c r="O28" s="170">
        <f>SUMIF(Table13[Scope/Sub-Type],'INN Rollups 2021'!M25,Table13[agg_sub_type_Total Contributed Income])</f>
        <v>3288752.7860000003</v>
      </c>
      <c r="P28" s="173">
        <f>O28/O30</f>
        <v>0.69094012603994126</v>
      </c>
      <c r="Q28" s="191">
        <f>AVERAGEIFS(Table13[agg_sub_type_Total Contributed Income],Table13[Scope/Sub-Type],'INN Rollups 2021'!M25,Table13[agg_sub_type_Total Contributed Income],"&gt;0")</f>
        <v>298977.52600000001</v>
      </c>
      <c r="T28" s="134" t="s">
        <v>272</v>
      </c>
      <c r="U28" s="170">
        <f>SUMIF(Table13[Scope/Sub-Type],'INN Rollups 2021'!S25,Table13[agg_sub_type_Total Contributed Income])</f>
        <v>39235192.862500004</v>
      </c>
      <c r="V28" s="173">
        <f>U28/U30</f>
        <v>0.82761739154354486</v>
      </c>
      <c r="W28" s="191">
        <f>AVERAGEIFS(Table13[agg_sub_type_Total Contributed Income],Table13[Scope/Sub-Type],'INN Rollups 2021'!S25,Table13[agg_sub_type_Total Contributed Income],"&gt;0")</f>
        <v>1961759.6431250002</v>
      </c>
    </row>
    <row r="29" spans="1:23" x14ac:dyDescent="0.2">
      <c r="B29" s="137" t="s">
        <v>273</v>
      </c>
      <c r="C29" s="181">
        <f>SUMIF(Table13[Scope/Sub-Type],'INN Rollups 2021'!A25,Table13[agg_sub_type_Total Earned Income])</f>
        <v>1695364.911764707</v>
      </c>
      <c r="D29" s="180">
        <f>C29/C30</f>
        <v>0.10959238800128537</v>
      </c>
      <c r="E29" s="250">
        <f>AVERAGEIFS(Table13[agg_sub_type_Total Earned Income],Table13[Scope/Sub-Type],'INN Rollups 2021'!A25,Table13[agg_sub_type_Total Earned Income],"&gt;0")</f>
        <v>67814.59647058828</v>
      </c>
      <c r="H29" s="137" t="s">
        <v>273</v>
      </c>
      <c r="I29" s="181">
        <f>SUMIF(Table13[Scope/Sub-Type],'INN Rollups 2021'!G25,Table13[agg_sub_type_Total Earned Income])</f>
        <v>7262558.0462499978</v>
      </c>
      <c r="J29" s="180">
        <f>I29/I30</f>
        <v>0.17176975485316517</v>
      </c>
      <c r="K29" s="250">
        <f>AVERAGEIFS(Table13[agg_sub_type_Total Earned Income],Table13[Scope/Sub-Type],'INN Rollups 2021'!G25,Table13[agg_sub_type_Total Earned Income],"&gt;0")</f>
        <v>279329.1556249999</v>
      </c>
      <c r="N29" s="137" t="s">
        <v>273</v>
      </c>
      <c r="O29" s="181">
        <f>SUMIF(Table13[Scope/Sub-Type],'INN Rollups 2021'!M25,Table13[agg_sub_type_Total Earned Income])</f>
        <v>1471070.3333333335</v>
      </c>
      <c r="P29" s="180">
        <f>O29/O30</f>
        <v>0.30905987396005863</v>
      </c>
      <c r="Q29" s="250">
        <f>AVERAGEIFS(Table13[agg_sub_type_Total Earned Income],Table13[Scope/Sub-Type],'INN Rollups 2021'!M25,Table13[agg_sub_type_Total Earned Income],"&gt;0")</f>
        <v>133733.66666666669</v>
      </c>
      <c r="T29" s="137" t="s">
        <v>273</v>
      </c>
      <c r="U29" s="181">
        <f>SUMIF(Table13[Scope/Sub-Type],'INN Rollups 2021'!S25,Table13[agg_sub_type_Total Earned Income])</f>
        <v>8172212.13333333</v>
      </c>
      <c r="V29" s="180">
        <f>U29/U30</f>
        <v>0.17238260845645506</v>
      </c>
      <c r="W29" s="250">
        <f>AVERAGEIFS(Table13[agg_sub_type_Total Earned Income],Table13[Scope/Sub-Type],'INN Rollups 2021'!S25,Table13[agg_sub_type_Total Earned Income],"&gt;0")</f>
        <v>408610.60666666651</v>
      </c>
    </row>
    <row r="30" spans="1:23" x14ac:dyDescent="0.2">
      <c r="B30" s="134" t="s">
        <v>274</v>
      </c>
      <c r="C30" s="170">
        <f>SUM(C28:C29)</f>
        <v>15469732.366310172</v>
      </c>
      <c r="D30" s="185">
        <f>SUM(D28:D29)</f>
        <v>0.99999999999999989</v>
      </c>
      <c r="E30" s="191">
        <f>AVERAGEIFS(Table13[agg_sub_type_TOTAL INCOME],Table13[Scope/Sub-Type],'INN Rollups 2021'!A25,Table13[agg_sub_type_TOTAL INCOME],"&gt;0")</f>
        <v>603376.88636363659</v>
      </c>
      <c r="H30" s="134" t="s">
        <v>274</v>
      </c>
      <c r="I30" s="170">
        <f>SUM(I28:I29)</f>
        <v>42280773.192336962</v>
      </c>
      <c r="J30" s="185">
        <f>SUM(J28:J29)</f>
        <v>0.99999999999999989</v>
      </c>
      <c r="K30" s="191">
        <f>AVERAGEIFS(Table13[agg_sub_type_TOTAL INCOME],Table13[Scope/Sub-Type],'INN Rollups 2021'!G25,Table13[agg_sub_type_TOTAL INCOME],"&gt;0")</f>
        <v>1541170.3630434787</v>
      </c>
      <c r="N30" s="134" t="s">
        <v>274</v>
      </c>
      <c r="O30" s="170">
        <f>SUM(O28:O29)</f>
        <v>4759823.1193333343</v>
      </c>
      <c r="P30" s="185">
        <f>SUM(P28:P29)</f>
        <v>0.99999999999999989</v>
      </c>
      <c r="Q30" s="191">
        <f>AVERAGEIFS(Table13[agg_sub_type_TOTAL INCOME],Table13[Scope/Sub-Type],'INN Rollups 2021'!M25,Table13[agg_sub_type_TOTAL INCOME],"&gt;0")</f>
        <v>379217.72599999997</v>
      </c>
      <c r="T30" s="134" t="s">
        <v>274</v>
      </c>
      <c r="U30" s="170">
        <f>SUM(U28:U29)</f>
        <v>47407404.995833337</v>
      </c>
      <c r="V30" s="185">
        <f>SUM(V28:V29)</f>
        <v>0.99999999999999989</v>
      </c>
      <c r="W30" s="191">
        <f>AVERAGEIFS(Table13[agg_sub_type_TOTAL INCOME],Table13[Scope/Sub-Type],'INN Rollups 2021'!S25,Table13[agg_sub_type_TOTAL INCOME],"&gt;0")</f>
        <v>2344832.0868749996</v>
      </c>
    </row>
    <row r="31" spans="1:23" x14ac:dyDescent="0.2">
      <c r="C31" s="191"/>
      <c r="E31" s="191"/>
      <c r="I31" s="191"/>
      <c r="K31" s="191"/>
      <c r="O31" s="191"/>
      <c r="Q31" s="191"/>
      <c r="U31" s="191"/>
      <c r="W31" s="191"/>
    </row>
    <row r="32" spans="1:23" x14ac:dyDescent="0.2">
      <c r="B32" s="134" t="s">
        <v>275</v>
      </c>
      <c r="C32" s="170">
        <f>SUMIF(Table13[Scope/Sub-Type],'INN Rollups 2021'!A25,Table13[agg_sub_type_Expenses - Editorial])</f>
        <v>7001163.9523809534</v>
      </c>
      <c r="D32" s="173">
        <f>C32/C34</f>
        <v>0.58919688284393557</v>
      </c>
      <c r="E32" s="191">
        <f>AVERAGEIFS(Table13[agg_sub_type_Expenses - Editorial],Table13[Scope/Sub-Type],'INN Rollups 2021'!A25,Table13[agg_sub_type_Expenses - Editorial],"&gt;0")</f>
        <v>280046.55809523811</v>
      </c>
      <c r="H32" s="134" t="s">
        <v>275</v>
      </c>
      <c r="I32" s="170">
        <f>SUMIF(Table13[Scope/Sub-Type],'INN Rollups 2021'!G25,Table13[agg_sub_type_Expenses - Editorial])</f>
        <v>21714358.922608703</v>
      </c>
      <c r="J32" s="173">
        <f>I32/I34</f>
        <v>0.59488710387656019</v>
      </c>
      <c r="K32" s="191">
        <f>AVERAGEIFS(Table13[agg_sub_type_Expenses - Editorial],Table13[Scope/Sub-Type],'INN Rollups 2021'!G25,Table13[agg_sub_type_Expenses - Editorial],"&gt;0")</f>
        <v>835167.65086956555</v>
      </c>
      <c r="N32" s="134" t="s">
        <v>275</v>
      </c>
      <c r="O32" s="170">
        <f>SUMIF(Table13[Scope/Sub-Type],'INN Rollups 2021'!M25,Table13[agg_sub_type_Expenses - Editorial])</f>
        <v>1708118.5</v>
      </c>
      <c r="P32" s="173">
        <f>O32/O34</f>
        <v>0.46081437490030824</v>
      </c>
      <c r="Q32" s="191">
        <f>AVERAGEIFS(Table13[agg_sub_type_Expenses - Editorial],Table13[Scope/Sub-Type],'INN Rollups 2021'!M25,Table13[agg_sub_type_Expenses - Editorial],"&gt;0")</f>
        <v>155283.5</v>
      </c>
      <c r="T32" s="134" t="s">
        <v>275</v>
      </c>
      <c r="U32" s="170">
        <f>SUMIF(Table13[Scope/Sub-Type],'INN Rollups 2021'!S25,Table13[agg_sub_type_Expenses - Editorial])</f>
        <v>26012673.33333334</v>
      </c>
      <c r="V32" s="173">
        <f>U32/U34</f>
        <v>0.5804436261807544</v>
      </c>
      <c r="W32" s="191">
        <f>AVERAGEIFS(Table13[agg_sub_type_Expenses - Editorial],Table13[Scope/Sub-Type],'INN Rollups 2021'!S25,Table13[agg_sub_type_Expenses - Editorial],"&gt;0")</f>
        <v>1300633.666666667</v>
      </c>
    </row>
    <row r="33" spans="1:23" x14ac:dyDescent="0.2">
      <c r="B33" s="137" t="s">
        <v>276</v>
      </c>
      <c r="C33" s="181">
        <f>SUMIF(Table13[Scope/Sub-Type],'INN Rollups 2021'!A25,Table13[agg_sub_type_Expenses - Non-Editorial])</f>
        <v>4881390.3452380942</v>
      </c>
      <c r="D33" s="180">
        <f>C33/C34</f>
        <v>0.41080311715606438</v>
      </c>
      <c r="E33" s="250">
        <f>AVERAGEIFS(Table13[agg_sub_type_Expenses - Non-Editorial],Table13[Scope/Sub-Type],'INN Rollups 2021'!A25,Table13[agg_sub_type_Expenses - Non-Editorial],"&gt;0")</f>
        <v>195255.61380952375</v>
      </c>
      <c r="H33" s="137" t="s">
        <v>276</v>
      </c>
      <c r="I33" s="181">
        <f>SUMIF(Table13[Scope/Sub-Type],'INN Rollups 2021'!G25,Table13[agg_sub_type_Expenses - Non-Editorial])</f>
        <v>14787287.828695653</v>
      </c>
      <c r="J33" s="180">
        <f>I33/I34</f>
        <v>0.4051128961234397</v>
      </c>
      <c r="K33" s="250">
        <f>AVERAGEIFS(Table13[agg_sub_type_Expenses - Non-Editorial],Table13[Scope/Sub-Type],'INN Rollups 2021'!G25,Table13[agg_sub_type_Expenses - Non-Editorial],"&gt;0")</f>
        <v>568741.83956521738</v>
      </c>
      <c r="N33" s="137" t="s">
        <v>276</v>
      </c>
      <c r="O33" s="181">
        <f>SUMIF(Table13[Scope/Sub-Type],'INN Rollups 2021'!M25,Table13[agg_sub_type_Expenses - Non-Editorial])</f>
        <v>1998620.25</v>
      </c>
      <c r="P33" s="180">
        <f>O33/O34</f>
        <v>0.5391856250996917</v>
      </c>
      <c r="Q33" s="250">
        <f>AVERAGEIFS(Table13[agg_sub_type_Expenses - Non-Editorial],Table13[Scope/Sub-Type],'INN Rollups 2021'!M25,Table13[agg_sub_type_Expenses - Non-Editorial],"&gt;0")</f>
        <v>181692.75</v>
      </c>
      <c r="T33" s="137" t="s">
        <v>276</v>
      </c>
      <c r="U33" s="181">
        <f>SUMIF(Table13[Scope/Sub-Type],'INN Rollups 2021'!S25,Table13[agg_sub_type_Expenses - Non-Editorial])</f>
        <v>18802485.555555552</v>
      </c>
      <c r="V33" s="180">
        <f>U33/U34</f>
        <v>0.41955637381924549</v>
      </c>
      <c r="W33" s="250">
        <f>AVERAGEIFS(Table13[agg_sub_type_Expenses - Non-Editorial],Table13[Scope/Sub-Type],'INN Rollups 2021'!S25,Table13[agg_sub_type_Expenses - Non-Editorial],"&gt;0")</f>
        <v>940124.27777777764</v>
      </c>
    </row>
    <row r="34" spans="1:23" x14ac:dyDescent="0.2">
      <c r="B34" s="134" t="s">
        <v>277</v>
      </c>
      <c r="C34" s="170">
        <f>SUM(C32:C33)</f>
        <v>11882554.297619049</v>
      </c>
      <c r="D34" s="173">
        <f>SUM(D32:D33)</f>
        <v>1</v>
      </c>
      <c r="E34" s="191">
        <f>AVERAGEIFS(Table13[agg_sub_type_TOTAL EXPENSES],Table13[Scope/Sub-Type],'INN Rollups 2021'!A25,Table13[agg_sub_type_TOTAL EXPENSES],"&gt;0")</f>
        <v>475302.17190476187</v>
      </c>
      <c r="H34" s="134" t="s">
        <v>277</v>
      </c>
      <c r="I34" s="170">
        <f>SUM(I32:I33)</f>
        <v>36501646.751304358</v>
      </c>
      <c r="J34" s="173">
        <f>SUM(J32:J33)</f>
        <v>0.99999999999999989</v>
      </c>
      <c r="K34" s="191">
        <f>AVERAGEIFS(Table13[agg_sub_type_TOTAL EXPENSES],Table13[Scope/Sub-Type],'INN Rollups 2021'!G25,Table13[agg_sub_type_TOTAL EXPENSES],"&gt;0")</f>
        <v>1403909.4904347816</v>
      </c>
      <c r="N34" s="134" t="s">
        <v>277</v>
      </c>
      <c r="O34" s="170">
        <f>SUM(O32:O33)</f>
        <v>3706738.75</v>
      </c>
      <c r="P34" s="173">
        <f>SUM(P32:P33)</f>
        <v>1</v>
      </c>
      <c r="Q34" s="191">
        <f>AVERAGEIFS(Table13[agg_sub_type_TOTAL EXPENSES],Table13[Scope/Sub-Type],'INN Rollups 2021'!M25,Table13[agg_sub_type_TOTAL EXPENSES],"&gt;0")</f>
        <v>336976.25</v>
      </c>
      <c r="T34" s="134" t="s">
        <v>277</v>
      </c>
      <c r="U34" s="170">
        <f>SUM(U32:U33)</f>
        <v>44815158.888888896</v>
      </c>
      <c r="V34" s="173">
        <f>SUM(V32:V33)</f>
        <v>0.99999999999999989</v>
      </c>
      <c r="W34" s="191">
        <f>AVERAGEIFS(Table13[agg_sub_type_TOTAL EXPENSES],Table13[Scope/Sub-Type],'INN Rollups 2021'!S25,Table13[agg_sub_type_TOTAL EXPENSES],"&gt;0")</f>
        <v>2240757.944444445</v>
      </c>
    </row>
    <row r="36" spans="1:23" x14ac:dyDescent="0.2">
      <c r="B36" s="134" t="s">
        <v>278</v>
      </c>
      <c r="C36" s="134">
        <f>SUMIF(Table13[Scope/Sub-Type],'INN Rollups 2021'!A25,Table13[agg_sub_type_Total FTE - Editorial])</f>
        <v>119.03409090909098</v>
      </c>
      <c r="D36" s="164">
        <f>C36/C38</f>
        <v>0.69326479737033686</v>
      </c>
      <c r="E36" s="196">
        <f>AVERAGEIFS(Table13[agg_sub_type_Total FTE - Editorial],Table13[Scope/Sub-Type],'INN Rollups 2021'!A25,Table13[agg_sub_type_Total FTE - Editorial],"&gt;0")</f>
        <v>4.7613636363636394</v>
      </c>
      <c r="H36" s="134" t="s">
        <v>278</v>
      </c>
      <c r="I36" s="134">
        <f>SUMIF(Table13[Scope/Sub-Type],'INN Rollups 2021'!G25,Table13[agg_sub_type_Total FTE - Editorial])</f>
        <v>236.08000000000013</v>
      </c>
      <c r="J36" s="164">
        <f>I36/I38</f>
        <v>0.66102466102466106</v>
      </c>
      <c r="K36" s="196">
        <f>AVERAGEIFS(Table13[agg_sub_type_Total FTE - Editorial],Table13[Scope/Sub-Type],'INN Rollups 2021'!G25,Table13[agg_sub_type_Total FTE - Editorial],"&gt;0")</f>
        <v>9.0800000000000054</v>
      </c>
      <c r="N36" s="134" t="s">
        <v>278</v>
      </c>
      <c r="O36" s="134">
        <f>SUMIF(Table13[Scope/Sub-Type],'INN Rollups 2021'!M25,Table13[agg_sub_type_Total FTE - Editorial])</f>
        <v>67.500000000000014</v>
      </c>
      <c r="P36" s="164">
        <f>O36/O38</f>
        <v>0.69053708439897699</v>
      </c>
      <c r="Q36" s="196">
        <f>AVERAGEIFS(Table13[agg_sub_type_Total FTE - Editorial],Table13[Scope/Sub-Type],'INN Rollups 2021'!M25,Table13[agg_sub_type_Total FTE - Editorial],"&gt;0")</f>
        <v>6.1363636363636376</v>
      </c>
      <c r="T36" s="134" t="s">
        <v>278</v>
      </c>
      <c r="U36" s="134">
        <f>SUMIF(Table13[Scope/Sub-Type],'INN Rollups 2021'!S25,Table13[agg_sub_type_Total FTE - Editorial])</f>
        <v>255.7999999999999</v>
      </c>
      <c r="V36" s="164">
        <f>U36/U38</f>
        <v>0.603942863888561</v>
      </c>
      <c r="W36" s="196">
        <f>AVERAGEIFS(Table13[agg_sub_type_Total FTE - Editorial],Table13[Scope/Sub-Type],'INN Rollups 2021'!S25,Table13[agg_sub_type_Total FTE - Editorial],"&gt;0")</f>
        <v>12.789999999999996</v>
      </c>
    </row>
    <row r="37" spans="1:23" x14ac:dyDescent="0.2">
      <c r="B37" s="137" t="s">
        <v>279</v>
      </c>
      <c r="C37" s="137">
        <f>SUMIF(Table13[Scope/Sub-Type],'INN Rollups 2021'!A25,Table13[agg_sub_type_Total FTE - Non-Editorial])</f>
        <v>52.666666666666686</v>
      </c>
      <c r="D37" s="182">
        <f>C37/C38</f>
        <v>0.30673520262966308</v>
      </c>
      <c r="E37" s="198">
        <f>AVERAGEIFS(Table13[agg_sub_type_Total FTE - Non-Editorial],Table13[Scope/Sub-Type],'INN Rollups 2021'!A25,Table13[agg_sub_type_Total FTE - Non-Editorial],"&gt;0")</f>
        <v>2.1066666666666674</v>
      </c>
      <c r="H37" s="137" t="s">
        <v>279</v>
      </c>
      <c r="I37" s="137">
        <f>SUMIF(Table13[Scope/Sub-Type],'INN Rollups 2021'!G25,Table13[agg_sub_type_Total FTE - Non-Editorial])</f>
        <v>121.0625</v>
      </c>
      <c r="J37" s="182">
        <f>I37/I38</f>
        <v>0.33897533897533882</v>
      </c>
      <c r="K37" s="198">
        <f>AVERAGEIFS(Table13[agg_sub_type_Total FTE - Non-Editorial],Table13[Scope/Sub-Type],'INN Rollups 2021'!G25,Table13[agg_sub_type_Total FTE - Non-Editorial],"&gt;0")</f>
        <v>4.65625</v>
      </c>
      <c r="N37" s="137" t="s">
        <v>279</v>
      </c>
      <c r="O37" s="137">
        <f>SUMIF(Table13[Scope/Sub-Type],'INN Rollups 2021'!M25,Table13[agg_sub_type_Total FTE - Non-Editorial])</f>
        <v>30.25</v>
      </c>
      <c r="P37" s="182">
        <f>O37/O38</f>
        <v>0.30946291560102296</v>
      </c>
      <c r="Q37" s="198">
        <f>AVERAGEIFS(Table13[agg_sub_type_Total FTE - Non-Editorial],Table13[Scope/Sub-Type],'INN Rollups 2021'!M25,Table13[agg_sub_type_Total FTE - Non-Editorial],"&gt;0")</f>
        <v>2.75</v>
      </c>
      <c r="T37" s="137" t="s">
        <v>279</v>
      </c>
      <c r="U37" s="137">
        <f>SUMIF(Table13[Scope/Sub-Type],'INN Rollups 2021'!S25,Table13[agg_sub_type_Total FTE - Non-Editorial])</f>
        <v>167.74999999999997</v>
      </c>
      <c r="V37" s="182">
        <f>U37/U38</f>
        <v>0.39605713611143911</v>
      </c>
      <c r="W37" s="198">
        <f>AVERAGEIFS(Table13[agg_sub_type_Total FTE - Non-Editorial],Table13[Scope/Sub-Type],'INN Rollups 2021'!S25,Table13[agg_sub_type_Total FTE - Non-Editorial],"&gt;0")</f>
        <v>8.3874999999999993</v>
      </c>
    </row>
    <row r="38" spans="1:23" x14ac:dyDescent="0.2">
      <c r="B38" s="134" t="s">
        <v>280</v>
      </c>
      <c r="C38" s="134">
        <f>SUM(C36:C37)</f>
        <v>171.70075757575768</v>
      </c>
      <c r="D38" s="186">
        <f>SUM(D36:D37)</f>
        <v>1</v>
      </c>
      <c r="E38" s="196">
        <f>AVERAGEIFS(Table13[agg_sub_type_Total FTE],Table13[Scope/Sub-Type],'INN Rollups 2021'!A25,Table13[agg_sub_type_Total FTE],"&gt;0")</f>
        <v>6.1977272727272741</v>
      </c>
      <c r="H38" s="134" t="s">
        <v>280</v>
      </c>
      <c r="I38" s="134">
        <f>SUM(I36:I37)</f>
        <v>357.14250000000015</v>
      </c>
      <c r="J38" s="186">
        <f>SUM(J36:J37)</f>
        <v>0.99999999999999989</v>
      </c>
      <c r="K38" s="196">
        <f>AVERAGEIFS(Table13[agg_sub_type_Total FTE],Table13[Scope/Sub-Type],'INN Rollups 2021'!G25,Table13[agg_sub_type_Total FTE],"&gt;0")</f>
        <v>11.945384615384622</v>
      </c>
      <c r="N38" s="134" t="s">
        <v>280</v>
      </c>
      <c r="O38" s="134">
        <f>SUM(O36:O37)</f>
        <v>97.750000000000014</v>
      </c>
      <c r="P38" s="186">
        <f>SUM(P36:P37)</f>
        <v>1</v>
      </c>
      <c r="Q38" s="196">
        <f>AVERAGEIFS(Table13[agg_sub_type_Total FTE],Table13[Scope/Sub-Type],'INN Rollups 2021'!M25,Table13[agg_sub_type_Total FTE],"&gt;0")</f>
        <v>7.8863636363636394</v>
      </c>
      <c r="T38" s="134" t="s">
        <v>280</v>
      </c>
      <c r="U38" s="134">
        <f>SUM(U36:U37)</f>
        <v>423.54999999999984</v>
      </c>
      <c r="V38" s="186">
        <f>SUM(V36:V37)</f>
        <v>1</v>
      </c>
      <c r="W38" s="196">
        <f>AVERAGEIFS(Table13[agg_sub_type_Total FTE],Table13[Scope/Sub-Type],'INN Rollups 2021'!S25,Table13[agg_sub_type_Total FTE],"&gt;0")</f>
        <v>19.5</v>
      </c>
    </row>
    <row r="40" spans="1:23" x14ac:dyDescent="0.2">
      <c r="A40" s="133" t="s">
        <v>122</v>
      </c>
      <c r="C40" s="133">
        <f>COUNTIF(Table13[Scope/Sub-Type],'INN Rollups 2021'!A40)</f>
        <v>7</v>
      </c>
      <c r="G40" s="133" t="s">
        <v>125</v>
      </c>
      <c r="I40" s="133">
        <f>COUNTIF(Table13[Scope/Sub-Type],'INN Rollups 2021'!G40)</f>
        <v>8</v>
      </c>
      <c r="M40" s="133" t="s">
        <v>128</v>
      </c>
      <c r="O40" s="133">
        <f>COUNTIF(Table13[Scope/Sub-Type],'INN Rollups 2021'!M40)</f>
        <v>8</v>
      </c>
      <c r="S40" s="133" t="s">
        <v>131</v>
      </c>
      <c r="U40" s="133">
        <f>COUNTIF(Table13[Scope/Sub-Type],'INN Rollups 2021'!S40)</f>
        <v>21</v>
      </c>
    </row>
    <row r="41" spans="1:23" x14ac:dyDescent="0.2">
      <c r="B41" s="133"/>
    </row>
    <row r="42" spans="1:23" x14ac:dyDescent="0.2">
      <c r="B42" s="133"/>
      <c r="C42" s="285" t="s">
        <v>269</v>
      </c>
      <c r="D42" s="285" t="s">
        <v>270</v>
      </c>
      <c r="E42" s="285" t="s">
        <v>271</v>
      </c>
      <c r="H42" s="133"/>
      <c r="I42" s="285" t="s">
        <v>269</v>
      </c>
      <c r="J42" s="285" t="s">
        <v>270</v>
      </c>
      <c r="K42" s="285" t="s">
        <v>271</v>
      </c>
      <c r="N42" s="133"/>
      <c r="O42" s="285" t="s">
        <v>269</v>
      </c>
      <c r="P42" s="285" t="s">
        <v>270</v>
      </c>
      <c r="Q42" s="285" t="s">
        <v>271</v>
      </c>
      <c r="T42" s="133"/>
      <c r="U42" s="285" t="s">
        <v>269</v>
      </c>
      <c r="V42" s="285" t="s">
        <v>270</v>
      </c>
      <c r="W42" s="285" t="s">
        <v>271</v>
      </c>
    </row>
    <row r="43" spans="1:23" x14ac:dyDescent="0.2">
      <c r="B43" s="134" t="s">
        <v>272</v>
      </c>
      <c r="C43" s="170">
        <f>SUMIF(Table13[Scope/Sub-Type],'INN Rollups 2021'!A40,Table13[agg_sub_type_Total Contributed Income])</f>
        <v>2366752.92</v>
      </c>
      <c r="D43" s="173">
        <f>C43/C45</f>
        <v>0.77119728623453743</v>
      </c>
      <c r="E43" s="191">
        <f>AVERAGEIFS(Table13[agg_sub_type_Total Contributed Income],Table13[Scope/Sub-Type],'INN Rollups 2021'!A40,Table13[agg_sub_type_Total Contributed Income],"&gt;0")</f>
        <v>338107.56</v>
      </c>
      <c r="H43" s="134" t="s">
        <v>272</v>
      </c>
      <c r="I43" s="170">
        <f>SUMIF(Table13[Scope/Sub-Type],'INN Rollups 2021'!G40,Table13[agg_sub_type_Total Contributed Income])</f>
        <v>6503730.4799999986</v>
      </c>
      <c r="J43" s="173">
        <f>I43/I45</f>
        <v>0.95622400131796415</v>
      </c>
      <c r="K43" s="191">
        <f>AVERAGEIFS(Table13[agg_sub_type_Total Contributed Income],Table13[Scope/Sub-Type],'INN Rollups 2021'!G40,Table13[agg_sub_type_Total Contributed Income],"&gt;0")</f>
        <v>812966.30999999982</v>
      </c>
      <c r="N43" s="134" t="s">
        <v>272</v>
      </c>
      <c r="O43" s="170">
        <f>SUMIF(Table13[Scope/Sub-Type],'INN Rollups 2021'!M40,Table13[agg_sub_type_Total Contributed Income])</f>
        <v>3844527.4499999997</v>
      </c>
      <c r="P43" s="173">
        <f>O43/O45</f>
        <v>0.95512046561846142</v>
      </c>
      <c r="Q43" s="191">
        <f>AVERAGEIFS(Table13[agg_sub_type_Total Contributed Income],Table13[Scope/Sub-Type],'INN Rollups 2021'!M40,Table13[agg_sub_type_Total Contributed Income],"&gt;0")</f>
        <v>480565.93124999997</v>
      </c>
      <c r="T43" s="134" t="s">
        <v>272</v>
      </c>
      <c r="U43" s="170">
        <f>SUMIF(Table13[Scope/Sub-Type],'INN Rollups 2021'!S40,Table13[agg_sub_type_Total Contributed Income])</f>
        <v>65921063.480999999</v>
      </c>
      <c r="V43" s="173">
        <f>U43/U45</f>
        <v>0.95078387930688024</v>
      </c>
      <c r="W43" s="191">
        <f>AVERAGEIFS(Table13[agg_sub_type_Total Contributed Income],Table13[Scope/Sub-Type],'INN Rollups 2021'!S40,Table13[agg_sub_type_Total Contributed Income],"&gt;0")</f>
        <v>3139098.2609999999</v>
      </c>
    </row>
    <row r="44" spans="1:23" x14ac:dyDescent="0.2">
      <c r="B44" s="137" t="s">
        <v>273</v>
      </c>
      <c r="C44" s="181">
        <f>SUMIF(Table13[Scope/Sub-Type],'INN Rollups 2021'!A40,Table13[agg_sub_type_Total Earned Income])</f>
        <v>702180.23399999994</v>
      </c>
      <c r="D44" s="180">
        <f>C44/C45</f>
        <v>0.22880271376546246</v>
      </c>
      <c r="E44" s="250">
        <f>AVERAGEIFS(Table13[agg_sub_type_Total Earned Income],Table13[Scope/Sub-Type],'INN Rollups 2021'!A40,Table13[agg_sub_type_Total Earned Income],"&gt;0")</f>
        <v>100311.46199999998</v>
      </c>
      <c r="H44" s="137" t="s">
        <v>273</v>
      </c>
      <c r="I44" s="181">
        <f>SUMIF(Table13[Scope/Sub-Type],'INN Rollups 2021'!G40,Table13[agg_sub_type_Total Earned Income])</f>
        <v>297741.21600000001</v>
      </c>
      <c r="J44" s="180">
        <f>I44/I45</f>
        <v>4.3775998682035841E-2</v>
      </c>
      <c r="K44" s="250">
        <f>AVERAGEIFS(Table13[agg_sub_type_Total Earned Income],Table13[Scope/Sub-Type],'INN Rollups 2021'!G40,Table13[agg_sub_type_Total Earned Income],"&gt;0")</f>
        <v>37217.652000000002</v>
      </c>
      <c r="N44" s="137" t="s">
        <v>273</v>
      </c>
      <c r="O44" s="181">
        <f>SUMIF(Table13[Scope/Sub-Type],'INN Rollups 2021'!M40,Table13[agg_sub_type_Total Earned Income])</f>
        <v>180648</v>
      </c>
      <c r="P44" s="180">
        <f>O44/O45</f>
        <v>4.4879534381538577E-2</v>
      </c>
      <c r="Q44" s="250">
        <f>AVERAGEIFS(Table13[agg_sub_type_Total Earned Income],Table13[Scope/Sub-Type],'INN Rollups 2021'!M40,Table13[agg_sub_type_Total Earned Income],"&gt;0")</f>
        <v>22581</v>
      </c>
      <c r="T44" s="137" t="s">
        <v>273</v>
      </c>
      <c r="U44" s="181">
        <f>SUMIF(Table13[Scope/Sub-Type],'INN Rollups 2021'!S40,Table13[agg_sub_type_Total Earned Income])</f>
        <v>3412320.1782352957</v>
      </c>
      <c r="V44" s="180">
        <f>U44/U45</f>
        <v>4.9216120693119675E-2</v>
      </c>
      <c r="W44" s="250">
        <f>AVERAGEIFS(Table13[agg_sub_type_Total Earned Income],Table13[Scope/Sub-Type],'INN Rollups 2021'!S40,Table13[agg_sub_type_Total Earned Income],"&gt;0")</f>
        <v>162491.43705882359</v>
      </c>
    </row>
    <row r="45" spans="1:23" x14ac:dyDescent="0.2">
      <c r="B45" s="134" t="s">
        <v>274</v>
      </c>
      <c r="C45" s="170">
        <f>SUM(C43:C44)</f>
        <v>3068933.1540000001</v>
      </c>
      <c r="D45" s="185">
        <f>SUM(D43:D44)</f>
        <v>0.99999999999999989</v>
      </c>
      <c r="E45" s="191">
        <f>AVERAGEIFS(Table13[agg_sub_type_TOTAL INCOME],Table13[Scope/Sub-Type],'INN Rollups 2021'!A40,Table13[agg_sub_type_TOTAL INCOME],"&gt;0")</f>
        <v>421700.44499999995</v>
      </c>
      <c r="H45" s="134" t="s">
        <v>274</v>
      </c>
      <c r="I45" s="170">
        <f>SUM(I43:I44)</f>
        <v>6801471.6959999986</v>
      </c>
      <c r="J45" s="185">
        <f>SUM(J43:J44)</f>
        <v>1</v>
      </c>
      <c r="K45" s="191">
        <f>AVERAGEIFS(Table13[agg_sub_type_TOTAL INCOME],Table13[Scope/Sub-Type],'INN Rollups 2021'!G40,Table13[agg_sub_type_TOTAL INCOME],"&gt;0")</f>
        <v>836227.34250000003</v>
      </c>
      <c r="N45" s="134" t="s">
        <v>274</v>
      </c>
      <c r="O45" s="170">
        <f>SUM(O43:O44)</f>
        <v>4025175.4499999997</v>
      </c>
      <c r="P45" s="185">
        <f>SUM(P43:P44)</f>
        <v>1</v>
      </c>
      <c r="Q45" s="191">
        <f>AVERAGEIFS(Table13[agg_sub_type_TOTAL INCOME],Table13[Scope/Sub-Type],'INN Rollups 2021'!M40,Table13[agg_sub_type_TOTAL INCOME],"&gt;0")</f>
        <v>494679.05624999997</v>
      </c>
      <c r="T45" s="134" t="s">
        <v>274</v>
      </c>
      <c r="U45" s="170">
        <f>SUM(U43:U44)</f>
        <v>69333383.659235299</v>
      </c>
      <c r="V45" s="185">
        <f>SUM(V43:V44)</f>
        <v>0.99999999999999989</v>
      </c>
      <c r="W45" s="191">
        <f>AVERAGEIFS(Table13[agg_sub_type_TOTAL INCOME],Table13[Scope/Sub-Type],'INN Rollups 2021'!S40,Table13[agg_sub_type_TOTAL INCOME],"&gt;0")</f>
        <v>3277215.9825000004</v>
      </c>
    </row>
    <row r="46" spans="1:23" x14ac:dyDescent="0.2">
      <c r="C46" s="191"/>
      <c r="E46" s="191"/>
      <c r="I46" s="191"/>
      <c r="K46" s="191"/>
      <c r="O46" s="191"/>
      <c r="Q46" s="191"/>
      <c r="U46" s="191"/>
      <c r="W46" s="191"/>
    </row>
    <row r="47" spans="1:23" x14ac:dyDescent="0.2">
      <c r="B47" s="134" t="s">
        <v>275</v>
      </c>
      <c r="C47" s="170">
        <f>SUMIF(Table13[Scope/Sub-Type],'INN Rollups 2021'!A40,Table13[agg_sub_type_Expenses - Editorial])</f>
        <v>1368899</v>
      </c>
      <c r="D47" s="173">
        <f>C47/C49</f>
        <v>0.56566267024924533</v>
      </c>
      <c r="E47" s="191">
        <f>AVERAGEIFS(Table13[agg_sub_type_Expenses - Editorial],Table13[Scope/Sub-Type],'INN Rollups 2021'!A40,Table13[agg_sub_type_Expenses - Editorial],"&gt;0")</f>
        <v>195557</v>
      </c>
      <c r="H47" s="134" t="s">
        <v>275</v>
      </c>
      <c r="I47" s="170">
        <f>SUMIF(Table13[Scope/Sub-Type],'INN Rollups 2021'!G40,Table13[agg_sub_type_Expenses - Editorial])</f>
        <v>4530641</v>
      </c>
      <c r="J47" s="173">
        <f>I47/I49</f>
        <v>0.73847670712718272</v>
      </c>
      <c r="K47" s="191">
        <f>AVERAGEIFS(Table13[agg_sub_type_Expenses - Editorial],Table13[Scope/Sub-Type],'INN Rollups 2021'!G40,Table13[agg_sub_type_Expenses - Editorial],"&gt;0")</f>
        <v>566330.125</v>
      </c>
      <c r="N47" s="134" t="s">
        <v>275</v>
      </c>
      <c r="O47" s="170">
        <f>SUMIF(Table13[Scope/Sub-Type],'INN Rollups 2021'!M40,Table13[agg_sub_type_Expenses - Editorial])</f>
        <v>2437364</v>
      </c>
      <c r="P47" s="173">
        <f>O47/O49</f>
        <v>0.74679930766692393</v>
      </c>
      <c r="Q47" s="191">
        <f>AVERAGEIFS(Table13[agg_sub_type_Expenses - Editorial],Table13[Scope/Sub-Type],'INN Rollups 2021'!M40,Table13[agg_sub_type_Expenses - Editorial],"&gt;0")</f>
        <v>304670.5</v>
      </c>
      <c r="T47" s="134" t="s">
        <v>275</v>
      </c>
      <c r="U47" s="170">
        <f>SUMIF(Table13[Scope/Sub-Type],'INN Rollups 2021'!S40,Table13[agg_sub_type_Expenses - Editorial])</f>
        <v>28891499.878500011</v>
      </c>
      <c r="V47" s="173">
        <f>U47/U49</f>
        <v>0.62287298093414234</v>
      </c>
      <c r="W47" s="191">
        <f>AVERAGEIFS(Table13[agg_sub_type_Expenses - Editorial],Table13[Scope/Sub-Type],'INN Rollups 2021'!S40,Table13[agg_sub_type_Expenses - Editorial],"&gt;0")</f>
        <v>1375785.7085000004</v>
      </c>
    </row>
    <row r="48" spans="1:23" x14ac:dyDescent="0.2">
      <c r="B48" s="137" t="s">
        <v>276</v>
      </c>
      <c r="C48" s="181">
        <f>SUMIF(Table13[Scope/Sub-Type],'INN Rollups 2021'!A40,Table13[agg_sub_type_Expenses - Non-Editorial])</f>
        <v>1051092.7583333335</v>
      </c>
      <c r="D48" s="180">
        <f>C48/C49</f>
        <v>0.43433732975075456</v>
      </c>
      <c r="E48" s="250">
        <f>AVERAGEIFS(Table13[agg_sub_type_Expenses - Non-Editorial],Table13[Scope/Sub-Type],'INN Rollups 2021'!A40,Table13[agg_sub_type_Expenses - Non-Editorial],"&gt;0")</f>
        <v>150156.10833333337</v>
      </c>
      <c r="H48" s="137" t="s">
        <v>276</v>
      </c>
      <c r="I48" s="181">
        <f>SUMIF(Table13[Scope/Sub-Type],'INN Rollups 2021'!G40,Table13[agg_sub_type_Expenses - Non-Editorial])</f>
        <v>1604476</v>
      </c>
      <c r="J48" s="180">
        <f>I48/I49</f>
        <v>0.26152329287281728</v>
      </c>
      <c r="K48" s="250">
        <f>AVERAGEIFS(Table13[agg_sub_type_Expenses - Non-Editorial],Table13[Scope/Sub-Type],'INN Rollups 2021'!G40,Table13[agg_sub_type_Expenses - Non-Editorial],"&gt;0")</f>
        <v>200559.5</v>
      </c>
      <c r="N48" s="137" t="s">
        <v>276</v>
      </c>
      <c r="O48" s="181">
        <f>SUMIF(Table13[Scope/Sub-Type],'INN Rollups 2021'!M40,Table13[agg_sub_type_Expenses - Non-Editorial])</f>
        <v>826383</v>
      </c>
      <c r="P48" s="180">
        <f>O48/O49</f>
        <v>0.25320069233307607</v>
      </c>
      <c r="Q48" s="250">
        <f>AVERAGEIFS(Table13[agg_sub_type_Expenses - Non-Editorial],Table13[Scope/Sub-Type],'INN Rollups 2021'!M40,Table13[agg_sub_type_Expenses - Non-Editorial],"&gt;0")</f>
        <v>103297.875</v>
      </c>
      <c r="T48" s="137" t="s">
        <v>276</v>
      </c>
      <c r="U48" s="181">
        <f>SUMIF(Table13[Scope/Sub-Type],'INN Rollups 2021'!S40,Table13[agg_sub_type_Expenses - Non-Editorial])</f>
        <v>17492756.2425</v>
      </c>
      <c r="V48" s="180">
        <f>U48/U49</f>
        <v>0.37712701906585777</v>
      </c>
      <c r="W48" s="250">
        <f>AVERAGEIFS(Table13[agg_sub_type_Expenses - Non-Editorial],Table13[Scope/Sub-Type],'INN Rollups 2021'!S40,Table13[agg_sub_type_Expenses - Non-Editorial],"&gt;0")</f>
        <v>832988.39249999996</v>
      </c>
    </row>
    <row r="49" spans="1:23" x14ac:dyDescent="0.2">
      <c r="B49" s="134" t="s">
        <v>277</v>
      </c>
      <c r="C49" s="170">
        <f>SUM(C47:C48)</f>
        <v>2419991.7583333338</v>
      </c>
      <c r="D49" s="173">
        <f>SUM(D47:D48)</f>
        <v>0.99999999999999989</v>
      </c>
      <c r="E49" s="191">
        <f>AVERAGEIFS(Table13[agg_sub_type_TOTAL EXPENSES],Table13[Scope/Sub-Type],'INN Rollups 2021'!A40,Table13[agg_sub_type_TOTAL EXPENSES],"&gt;0")</f>
        <v>345713.10833333334</v>
      </c>
      <c r="H49" s="134" t="s">
        <v>277</v>
      </c>
      <c r="I49" s="170">
        <f>SUM(I47:I48)</f>
        <v>6135117</v>
      </c>
      <c r="J49" s="173">
        <f>SUM(J47:J48)</f>
        <v>1</v>
      </c>
      <c r="K49" s="191">
        <f>AVERAGEIFS(Table13[agg_sub_type_TOTAL EXPENSES],Table13[Scope/Sub-Type],'INN Rollups 2021'!G40,Table13[agg_sub_type_TOTAL EXPENSES],"&gt;0")</f>
        <v>766889.625</v>
      </c>
      <c r="N49" s="134" t="s">
        <v>277</v>
      </c>
      <c r="O49" s="170">
        <f>SUM(O47:O48)</f>
        <v>3263747</v>
      </c>
      <c r="P49" s="173">
        <f>SUM(P47:P48)</f>
        <v>1</v>
      </c>
      <c r="Q49" s="191">
        <f>AVERAGEIFS(Table13[agg_sub_type_TOTAL EXPENSES],Table13[Scope/Sub-Type],'INN Rollups 2021'!M40,Table13[agg_sub_type_TOTAL EXPENSES],"&gt;0")</f>
        <v>407968.375</v>
      </c>
      <c r="T49" s="134" t="s">
        <v>277</v>
      </c>
      <c r="U49" s="170">
        <f>SUM(U47:U48)</f>
        <v>46384256.121000007</v>
      </c>
      <c r="V49" s="173">
        <f>SUM(V47:V48)</f>
        <v>1</v>
      </c>
      <c r="W49" s="191">
        <f>AVERAGEIFS(Table13[agg_sub_type_TOTAL EXPENSES],Table13[Scope/Sub-Type],'INN Rollups 2021'!S40,Table13[agg_sub_type_TOTAL EXPENSES],"&gt;0")</f>
        <v>2208774.1009999989</v>
      </c>
    </row>
    <row r="51" spans="1:23" x14ac:dyDescent="0.2">
      <c r="B51" s="134" t="s">
        <v>278</v>
      </c>
      <c r="C51" s="134">
        <f>SUMIF(Table13[Scope/Sub-Type],'INN Rollups 2021'!A40,Table13[agg_sub_type_Total FTE - Editorial])</f>
        <v>16.916666666666664</v>
      </c>
      <c r="D51" s="164">
        <f>C51/C53</f>
        <v>0.29546612328069277</v>
      </c>
      <c r="E51" s="196">
        <f>AVERAGEIFS(Table13[agg_sub_type_Total FTE - Editorial],Table13[Scope/Sub-Type],'INN Rollups 2021'!A40,Table13[agg_sub_type_Total FTE - Editorial],"&gt;0")</f>
        <v>2.4166666666666665</v>
      </c>
      <c r="H51" s="134" t="s">
        <v>278</v>
      </c>
      <c r="I51" s="134">
        <f>SUMIF(Table13[Scope/Sub-Type],'INN Rollups 2021'!G40,Table13[agg_sub_type_Total FTE - Editorial])</f>
        <v>43.542857142857144</v>
      </c>
      <c r="J51" s="164">
        <f>I51/I53</f>
        <v>0.43164652567975836</v>
      </c>
      <c r="K51" s="196">
        <f>AVERAGEIFS(Table13[agg_sub_type_Total FTE - Editorial],Table13[Scope/Sub-Type],'INN Rollups 2021'!G40,Table13[agg_sub_type_Total FTE - Editorial],"&gt;0")</f>
        <v>5.4428571428571431</v>
      </c>
      <c r="N51" s="134" t="s">
        <v>278</v>
      </c>
      <c r="O51" s="134">
        <f>SUMIF(Table13[Scope/Sub-Type],'INN Rollups 2021'!M40,Table13[agg_sub_type_Total FTE - Editorial])</f>
        <v>39.428571428571438</v>
      </c>
      <c r="P51" s="164">
        <f>O51/O53</f>
        <v>0.73796791443850274</v>
      </c>
      <c r="Q51" s="196">
        <f>AVERAGEIFS(Table13[agg_sub_type_Total FTE - Editorial],Table13[Scope/Sub-Type],'INN Rollups 2021'!M40,Table13[agg_sub_type_Total FTE - Editorial],"&gt;0")</f>
        <v>4.9285714285714297</v>
      </c>
      <c r="T51" s="134" t="s">
        <v>278</v>
      </c>
      <c r="U51" s="134">
        <f>SUMIF(Table13[Scope/Sub-Type],'INN Rollups 2021'!S40,Table13[agg_sub_type_Total FTE - Editorial])</f>
        <v>239.24250000000012</v>
      </c>
      <c r="V51" s="164">
        <f>U51/U53</f>
        <v>0.57372120063097565</v>
      </c>
      <c r="W51" s="196">
        <f>AVERAGEIFS(Table13[agg_sub_type_Total FTE - Editorial],Table13[Scope/Sub-Type],'INN Rollups 2021'!S40,Table13[agg_sub_type_Total FTE - Editorial],"&gt;0")</f>
        <v>11.392500000000005</v>
      </c>
    </row>
    <row r="52" spans="1:23" x14ac:dyDescent="0.2">
      <c r="B52" s="137" t="s">
        <v>279</v>
      </c>
      <c r="C52" s="137">
        <f>SUMIF(Table13[Scope/Sub-Type],'INN Rollups 2021'!A40,Table13[agg_sub_type_Total FTE - Non-Editorial])</f>
        <v>40.337500000000006</v>
      </c>
      <c r="D52" s="182">
        <f>C52/C53</f>
        <v>0.70453387671930723</v>
      </c>
      <c r="E52" s="198">
        <f>AVERAGEIFS(Table13[agg_sub_type_Total FTE - Non-Editorial],Table13[Scope/Sub-Type],'INN Rollups 2021'!A40,Table13[agg_sub_type_Total FTE - Non-Editorial],"&gt;0")</f>
        <v>5.7625000000000011</v>
      </c>
      <c r="H52" s="137" t="s">
        <v>279</v>
      </c>
      <c r="I52" s="137">
        <f>SUMIF(Table13[Scope/Sub-Type],'INN Rollups 2021'!G40,Table13[agg_sub_type_Total FTE - Non-Editorial])</f>
        <v>57.333333333333329</v>
      </c>
      <c r="J52" s="182">
        <f>I52/I53</f>
        <v>0.56835347432024164</v>
      </c>
      <c r="K52" s="198">
        <f>AVERAGEIFS(Table13[agg_sub_type_Total FTE - Non-Editorial],Table13[Scope/Sub-Type],'INN Rollups 2021'!G40,Table13[agg_sub_type_Total FTE - Non-Editorial],"&gt;0")</f>
        <v>7.1666666666666661</v>
      </c>
      <c r="N52" s="137" t="s">
        <v>279</v>
      </c>
      <c r="O52" s="137">
        <f>SUMIF(Table13[Scope/Sub-Type],'INN Rollups 2021'!M40,Table13[agg_sub_type_Total FTE - Non-Editorial])</f>
        <v>14</v>
      </c>
      <c r="P52" s="182">
        <f>O52/O53</f>
        <v>0.26203208556149726</v>
      </c>
      <c r="Q52" s="198">
        <f>AVERAGEIFS(Table13[agg_sub_type_Total FTE - Non-Editorial],Table13[Scope/Sub-Type],'INN Rollups 2021'!M40,Table13[agg_sub_type_Total FTE - Non-Editorial],"&gt;0")</f>
        <v>1.75</v>
      </c>
      <c r="T52" s="137" t="s">
        <v>279</v>
      </c>
      <c r="U52" s="137">
        <f>SUMIF(Table13[Scope/Sub-Type],'INN Rollups 2021'!S40,Table13[agg_sub_type_Total FTE - Non-Editorial])</f>
        <v>177.75882352941181</v>
      </c>
      <c r="V52" s="182">
        <f>U52/U53</f>
        <v>0.42627879936902435</v>
      </c>
      <c r="W52" s="198">
        <f>AVERAGEIFS(Table13[agg_sub_type_Total FTE - Non-Editorial],Table13[Scope/Sub-Type],'INN Rollups 2021'!S40,Table13[agg_sub_type_Total FTE - Non-Editorial],"&gt;0")</f>
        <v>8.4647058823529431</v>
      </c>
    </row>
    <row r="53" spans="1:23" x14ac:dyDescent="0.2">
      <c r="B53" s="134" t="s">
        <v>280</v>
      </c>
      <c r="C53" s="134">
        <f>SUM(C51:C52)</f>
        <v>57.25416666666667</v>
      </c>
      <c r="D53" s="186">
        <f>SUM(D51:D52)</f>
        <v>1</v>
      </c>
      <c r="E53" s="196">
        <f>AVERAGEIFS(Table13[agg_sub_type_Total FTE],Table13[Scope/Sub-Type],'INN Rollups 2021'!A40,Table13[agg_sub_type_Total FTE],"&gt;0")</f>
        <v>4.3374999999999995</v>
      </c>
      <c r="H53" s="134" t="s">
        <v>280</v>
      </c>
      <c r="I53" s="134">
        <f>SUM(I51:I52)</f>
        <v>100.87619047619047</v>
      </c>
      <c r="J53" s="186">
        <f>SUM(J51:J52)</f>
        <v>1</v>
      </c>
      <c r="K53" s="196">
        <f>AVERAGEIFS(Table13[agg_sub_type_Total FTE],Table13[Scope/Sub-Type],'INN Rollups 2021'!G40,Table13[agg_sub_type_Total FTE],"&gt;0")</f>
        <v>8.5142857142857142</v>
      </c>
      <c r="N53" s="134" t="s">
        <v>280</v>
      </c>
      <c r="O53" s="134">
        <f>SUM(O51:O52)</f>
        <v>53.428571428571438</v>
      </c>
      <c r="P53" s="186">
        <f>SUM(P51:P52)</f>
        <v>1</v>
      </c>
      <c r="Q53" s="196">
        <f>AVERAGEIFS(Table13[agg_sub_type_Total FTE],Table13[Scope/Sub-Type],'INN Rollups 2021'!M40,Table13[agg_sub_type_Total FTE],"&gt;0")</f>
        <v>5.9285714285714297</v>
      </c>
      <c r="T53" s="134" t="s">
        <v>280</v>
      </c>
      <c r="U53" s="134">
        <f>SUM(U51:U52)</f>
        <v>417.00132352941193</v>
      </c>
      <c r="V53" s="186">
        <f>SUM(V51:V52)</f>
        <v>1</v>
      </c>
      <c r="W53" s="196">
        <f>AVERAGEIFS(Table13[agg_sub_type_Total FTE],Table13[Scope/Sub-Type],'INN Rollups 2021'!S40,Table13[agg_sub_type_Total FTE],"&gt;0")</f>
        <v>18.587499999999995</v>
      </c>
    </row>
    <row r="54" spans="1:23" s="156" customFormat="1" ht="12.75" thickBot="1" x14ac:dyDescent="0.25"/>
    <row r="55" spans="1:23" s="133" customFormat="1" x14ac:dyDescent="0.2">
      <c r="A55" s="133" t="str">
        <f>'Dropdown Menus'!F2</f>
        <v>Local: Explanatory &amp; Analysis</v>
      </c>
      <c r="C55" s="133">
        <f>COUNTIF(Table13[Scope/Content Type],'INN Rollups 2021'!A55)</f>
        <v>27</v>
      </c>
      <c r="G55" s="133" t="str">
        <f>'Dropdown Menus'!F5</f>
        <v>State: Explanatory &amp; Analysis</v>
      </c>
      <c r="I55" s="133">
        <f>COUNTIF(Table13[Scope/Content Type],'INN Rollups 2021'!G55)</f>
        <v>20</v>
      </c>
      <c r="M55" s="133" t="str">
        <f>'Dropdown Menus'!F8</f>
        <v>Regional: Explanatory &amp; Analysis</v>
      </c>
      <c r="O55" s="133">
        <f>COUNTIF(Table13[Scope/Content Type],'INN Rollups 2021'!M55)</f>
        <v>13</v>
      </c>
      <c r="S55" s="133" t="str">
        <f>'Dropdown Menus'!F11</f>
        <v>National: Explanatory &amp; Analysis</v>
      </c>
      <c r="U55" s="133">
        <f>COUNTIF(Table13[Scope/Content Type],'INN Rollups 2021'!S55)</f>
        <v>25</v>
      </c>
    </row>
    <row r="57" spans="1:23" x14ac:dyDescent="0.2">
      <c r="B57" s="133"/>
      <c r="C57" s="285" t="s">
        <v>269</v>
      </c>
      <c r="D57" s="285" t="s">
        <v>270</v>
      </c>
      <c r="E57" s="285" t="s">
        <v>271</v>
      </c>
      <c r="H57" s="133"/>
      <c r="I57" s="285" t="s">
        <v>269</v>
      </c>
      <c r="J57" s="285" t="s">
        <v>270</v>
      </c>
      <c r="K57" s="285" t="s">
        <v>271</v>
      </c>
      <c r="N57" s="133"/>
      <c r="O57" s="285" t="s">
        <v>269</v>
      </c>
      <c r="P57" s="285" t="s">
        <v>270</v>
      </c>
      <c r="Q57" s="285" t="s">
        <v>271</v>
      </c>
      <c r="T57" s="133"/>
      <c r="U57" s="285" t="s">
        <v>269</v>
      </c>
      <c r="V57" s="285" t="s">
        <v>270</v>
      </c>
      <c r="W57" s="285" t="s">
        <v>271</v>
      </c>
    </row>
    <row r="58" spans="1:23" x14ac:dyDescent="0.2">
      <c r="B58" s="134" t="s">
        <v>272</v>
      </c>
      <c r="C58" s="170">
        <f>SUMIF(Table13[Scope/Content Type],'INN Rollups 2021'!A55,Table13[agg_content_type_Total Contributed Income])</f>
        <v>8905498.3369565271</v>
      </c>
      <c r="D58" s="173">
        <f>C58/C60</f>
        <v>0.68027478324755297</v>
      </c>
      <c r="E58" s="191">
        <f>AVERAGEIFS(Table13[agg_content_type_Total Contributed Income],Table13[Scope/Content Type],'INN Rollups 2021'!A55,Table13[agg_content_type_Total Contributed Income],"&gt;0")</f>
        <v>329833.27173913061</v>
      </c>
      <c r="H58" s="134" t="s">
        <v>272</v>
      </c>
      <c r="I58" s="170">
        <f>SUMIF(Table13[Scope/Content Type],'INN Rollups 2021'!G55,Table13[agg_content_type_Total Contributed Income])</f>
        <v>27720937.347368427</v>
      </c>
      <c r="J58" s="173">
        <f>I58/I60</f>
        <v>0.89909467375345142</v>
      </c>
      <c r="K58" s="191">
        <f>AVERAGEIFS(Table13[agg_content_type_Total Contributed Income],Table13[Scope/Content Type],'INN Rollups 2021'!G55,Table13[agg_content_type_Total Contributed Income],"&gt;0")</f>
        <v>1386046.8673684213</v>
      </c>
      <c r="N58" s="134" t="s">
        <v>272</v>
      </c>
      <c r="O58" s="170">
        <f>SUMIF(Table13[Scope/Content Type],'INN Rollups 2021'!M55,Table13[agg_content_type_Total Contributed Income])</f>
        <v>15742847.022499999</v>
      </c>
      <c r="P58" s="173">
        <f>O58/O60</f>
        <v>0.72907774685026461</v>
      </c>
      <c r="Q58" s="191">
        <f>AVERAGEIFS(Table13[agg_content_type_Total Contributed Income],Table13[Scope/Content Type],'INN Rollups 2021'!M55,Table13[agg_content_type_Total Contributed Income],"&gt;0")</f>
        <v>1210988.2324999999</v>
      </c>
      <c r="T58" s="134" t="s">
        <v>272</v>
      </c>
      <c r="U58" s="170">
        <f>SUMIF(Table13[Scope/Content Type],'INN Rollups 2021'!S55,Table13[agg_content_type_Total Contributed Income])</f>
        <v>40320694.500000007</v>
      </c>
      <c r="V58" s="173">
        <f>U58/U60</f>
        <v>0.87265842751450906</v>
      </c>
      <c r="W58" s="191">
        <f>AVERAGEIFS(Table13[agg_content_type_Total Contributed Income],Table13[Scope/Content Type],'INN Rollups 2021'!S55,Table13[agg_content_type_Total Contributed Income],"&gt;0")</f>
        <v>1612827.7800000003</v>
      </c>
    </row>
    <row r="59" spans="1:23" x14ac:dyDescent="0.2">
      <c r="B59" s="137" t="s">
        <v>273</v>
      </c>
      <c r="C59" s="181">
        <f>SUMIF(Table13[Scope/Content Type],'INN Rollups 2021'!A55,Table13[agg_content_type_Total Earned Income])</f>
        <v>4185532.7526315805</v>
      </c>
      <c r="D59" s="180">
        <f>C59/C60</f>
        <v>0.31972521675244703</v>
      </c>
      <c r="E59" s="250">
        <f>AVERAGEIFS(Table13[agg_content_type_Total Earned Income],Table13[Scope/Content Type],'INN Rollups 2021'!A55,Table13[agg_content_type_Total Earned Income],"&gt;0")</f>
        <v>155019.73157894742</v>
      </c>
      <c r="H59" s="137" t="s">
        <v>273</v>
      </c>
      <c r="I59" s="181">
        <f>SUMIF(Table13[Scope/Content Type],'INN Rollups 2021'!G55,Table13[agg_content_type_Total Earned Income])</f>
        <v>3111118.671428571</v>
      </c>
      <c r="J59" s="180">
        <f>I59/I60</f>
        <v>0.10090532624654852</v>
      </c>
      <c r="K59" s="250">
        <f>AVERAGEIFS(Table13[agg_content_type_Total Earned Income],Table13[Scope/Content Type],'INN Rollups 2021'!G55,Table13[agg_content_type_Total Earned Income],"&gt;0")</f>
        <v>155555.93357142856</v>
      </c>
      <c r="N59" s="137" t="s">
        <v>273</v>
      </c>
      <c r="O59" s="181">
        <f>SUMIF(Table13[Scope/Content Type],'INN Rollups 2021'!M55,Table13[agg_content_type_Total Earned Income])</f>
        <v>5849976.3636363624</v>
      </c>
      <c r="P59" s="180">
        <f>O59/O60</f>
        <v>0.27092225314973545</v>
      </c>
      <c r="Q59" s="250">
        <f>AVERAGEIFS(Table13[agg_content_type_Total Earned Income],Table13[Scope/Content Type],'INN Rollups 2021'!M55,Table13[agg_content_type_Total Earned Income],"&gt;0")</f>
        <v>449998.18181818171</v>
      </c>
      <c r="T59" s="137" t="s">
        <v>273</v>
      </c>
      <c r="U59" s="181">
        <f>SUMIF(Table13[Scope/Content Type],'INN Rollups 2021'!S55,Table13[agg_content_type_Total Earned Income])</f>
        <v>5883746.125</v>
      </c>
      <c r="V59" s="180">
        <f>U59/U60</f>
        <v>0.12734157248549091</v>
      </c>
      <c r="W59" s="250">
        <f>AVERAGEIFS(Table13[agg_content_type_Total Earned Income],Table13[Scope/Content Type],'INN Rollups 2021'!S55,Table13[agg_content_type_Total Earned Income],"&gt;0")</f>
        <v>235349.845</v>
      </c>
    </row>
    <row r="60" spans="1:23" x14ac:dyDescent="0.2">
      <c r="B60" s="134" t="s">
        <v>274</v>
      </c>
      <c r="C60" s="170">
        <f>SUM(C58:C59)</f>
        <v>13091031.089588108</v>
      </c>
      <c r="D60" s="185">
        <f>SUM(D58:D59)</f>
        <v>1</v>
      </c>
      <c r="E60" s="191">
        <f>AVERAGEIFS(Table13[agg_content_type_TOTAL INCOME],Table13[Scope/Content Type],'INN Rollups 2021'!A55,Table13[agg_content_type_TOTAL INCOME],"&gt;0")</f>
        <v>457893.0500000001</v>
      </c>
      <c r="H60" s="134" t="s">
        <v>274</v>
      </c>
      <c r="I60" s="170">
        <f>SUM(I58:I59)</f>
        <v>30832056.018796999</v>
      </c>
      <c r="J60" s="185">
        <f>SUM(J58:J59)</f>
        <v>1</v>
      </c>
      <c r="K60" s="191">
        <f>AVERAGEIFS(Table13[agg_content_type_TOTAL INCOME],Table13[Scope/Content Type],'INN Rollups 2021'!G55,Table13[agg_content_type_TOTAL INCOME],"&gt;0")</f>
        <v>1500667.0289473685</v>
      </c>
      <c r="N60" s="134" t="s">
        <v>274</v>
      </c>
      <c r="O60" s="170">
        <f>SUM(O58:O59)</f>
        <v>21592823.38613636</v>
      </c>
      <c r="P60" s="185">
        <f>SUM(P58:P59)</f>
        <v>1</v>
      </c>
      <c r="Q60" s="191">
        <f>AVERAGEIFS(Table13[agg_content_type_TOTAL INCOME],Table13[Scope/Content Type],'INN Rollups 2021'!M55,Table13[agg_content_type_TOTAL INCOME],"&gt;0")</f>
        <v>1623486.5658333336</v>
      </c>
      <c r="T60" s="134" t="s">
        <v>274</v>
      </c>
      <c r="U60" s="170">
        <f>SUM(U58:U59)</f>
        <v>46204440.625000007</v>
      </c>
      <c r="V60" s="185">
        <f>SUM(V58:V59)</f>
        <v>1</v>
      </c>
      <c r="W60" s="191">
        <f>AVERAGEIFS(Table13[agg_content_type_TOTAL INCOME],Table13[Scope/Content Type],'INN Rollups 2021'!S55,Table13[agg_content_type_TOTAL INCOME],"&gt;0")</f>
        <v>1817479.8191304354</v>
      </c>
    </row>
    <row r="61" spans="1:23" x14ac:dyDescent="0.2">
      <c r="C61" s="191"/>
      <c r="E61" s="191"/>
      <c r="I61" s="191"/>
      <c r="K61" s="191"/>
      <c r="O61" s="191"/>
      <c r="Q61" s="191"/>
      <c r="U61" s="191"/>
      <c r="W61" s="191"/>
    </row>
    <row r="62" spans="1:23" x14ac:dyDescent="0.2">
      <c r="B62" s="134" t="s">
        <v>275</v>
      </c>
      <c r="C62" s="170">
        <f>SUMIF(Table13[Scope/Content Type],'INN Rollups 2021'!A55,Table13[agg_content_type_Expenses - Editorial])</f>
        <v>5176513.2937500039</v>
      </c>
      <c r="D62" s="173">
        <f>C62/C64</f>
        <v>0.60395769820616463</v>
      </c>
      <c r="E62" s="191">
        <f>AVERAGEIFS(Table13[agg_content_type_Expenses - Editorial],Table13[Scope/Content Type],'INN Rollups 2021'!A55,Table13[agg_content_type_Expenses - Editorial],"&gt;0")</f>
        <v>191722.71458333347</v>
      </c>
      <c r="H62" s="134" t="s">
        <v>275</v>
      </c>
      <c r="I62" s="170">
        <f>SUMIF(Table13[Scope/Content Type],'INN Rollups 2021'!G55,Table13[agg_content_type_Expenses - Editorial])</f>
        <v>14641857.511111116</v>
      </c>
      <c r="J62" s="173">
        <f>I62/I64</f>
        <v>0.55849413940011083</v>
      </c>
      <c r="K62" s="191">
        <f>AVERAGEIFS(Table13[agg_content_type_Expenses - Editorial],Table13[Scope/Content Type],'INN Rollups 2021'!G55,Table13[agg_content_type_Expenses - Editorial],"&gt;0")</f>
        <v>732092.8755555558</v>
      </c>
      <c r="N62" s="134" t="s">
        <v>275</v>
      </c>
      <c r="O62" s="170">
        <f>SUMIF(Table13[Scope/Content Type],'INN Rollups 2021'!M55,Table13[agg_content_type_Expenses - Editorial])</f>
        <v>12748204.299999997</v>
      </c>
      <c r="P62" s="173">
        <f>O62/O64</f>
        <v>0.58391429653271532</v>
      </c>
      <c r="Q62" s="191">
        <f>AVERAGEIFS(Table13[agg_content_type_Expenses - Editorial],Table13[Scope/Content Type],'INN Rollups 2021'!M55,Table13[agg_content_type_Expenses - Editorial],"&gt;0")</f>
        <v>980631.09999999974</v>
      </c>
      <c r="T62" s="134" t="s">
        <v>275</v>
      </c>
      <c r="U62" s="170">
        <f>SUMIF(Table13[Scope/Content Type],'INN Rollups 2021'!S55,Table13[agg_content_type_Expenses - Editorial])</f>
        <v>26295829.532608692</v>
      </c>
      <c r="V62" s="173">
        <f>U62/U64</f>
        <v>0.50686053790850794</v>
      </c>
      <c r="W62" s="191">
        <f>AVERAGEIFS(Table13[agg_content_type_Expenses - Editorial],Table13[Scope/Content Type],'INN Rollups 2021'!S55,Table13[agg_content_type_Expenses - Editorial],"&gt;0")</f>
        <v>1051833.1813043477</v>
      </c>
    </row>
    <row r="63" spans="1:23" x14ac:dyDescent="0.2">
      <c r="B63" s="137" t="s">
        <v>276</v>
      </c>
      <c r="C63" s="181">
        <f>SUMIF(Table13[Scope/Content Type],'INN Rollups 2021'!A55,Table13[agg_content_type_Expenses - Non-Editorial])</f>
        <v>3394473.2325000004</v>
      </c>
      <c r="D63" s="180">
        <f>C63/C64</f>
        <v>0.39604230179383532</v>
      </c>
      <c r="E63" s="250">
        <f>AVERAGEIFS(Table13[agg_content_type_Expenses - Non-Editorial],Table13[Scope/Content Type],'INN Rollups 2021'!A55,Table13[agg_content_type_Expenses - Non-Editorial],"&gt;0")</f>
        <v>125721.23083333335</v>
      </c>
      <c r="H63" s="137" t="s">
        <v>276</v>
      </c>
      <c r="I63" s="181">
        <f>SUMIF(Table13[Scope/Content Type],'INN Rollups 2021'!G55,Table13[agg_content_type_Expenses - Non-Editorial])</f>
        <v>11574814.210526314</v>
      </c>
      <c r="J63" s="180">
        <f>I63/I64</f>
        <v>0.44150586059988928</v>
      </c>
      <c r="K63" s="250">
        <f>AVERAGEIFS(Table13[agg_content_type_Expenses - Non-Editorial],Table13[Scope/Content Type],'INN Rollups 2021'!G55,Table13[agg_content_type_Expenses - Non-Editorial],"&gt;0")</f>
        <v>578740.71052631573</v>
      </c>
      <c r="N63" s="137" t="s">
        <v>276</v>
      </c>
      <c r="O63" s="181">
        <f>SUMIF(Table13[Scope/Content Type],'INN Rollups 2021'!M55,Table13[agg_content_type_Expenses - Non-Editorial])</f>
        <v>9084116.6000000015</v>
      </c>
      <c r="P63" s="180">
        <f>O63/O64</f>
        <v>0.41608570346728468</v>
      </c>
      <c r="Q63" s="250">
        <f>AVERAGEIFS(Table13[agg_content_type_Expenses - Non-Editorial],Table13[Scope/Content Type],'INN Rollups 2021'!M55,Table13[agg_content_type_Expenses - Non-Editorial],"&gt;0")</f>
        <v>698778.20000000007</v>
      </c>
      <c r="T63" s="137" t="s">
        <v>276</v>
      </c>
      <c r="U63" s="181">
        <f>SUMIF(Table13[Scope/Content Type],'INN Rollups 2021'!S55,Table13[agg_content_type_Expenses - Non-Editorial])</f>
        <v>25583982.695652176</v>
      </c>
      <c r="V63" s="180">
        <f>U63/U64</f>
        <v>0.49313946209149206</v>
      </c>
      <c r="W63" s="250">
        <f>AVERAGEIFS(Table13[agg_content_type_Expenses - Non-Editorial],Table13[Scope/Content Type],'INN Rollups 2021'!S55,Table13[agg_content_type_Expenses - Non-Editorial],"&gt;0")</f>
        <v>1023359.307826087</v>
      </c>
    </row>
    <row r="64" spans="1:23" x14ac:dyDescent="0.2">
      <c r="B64" s="134" t="s">
        <v>277</v>
      </c>
      <c r="C64" s="170">
        <f>SUM(C62:C63)</f>
        <v>8570986.5262500048</v>
      </c>
      <c r="D64" s="173">
        <f>SUM(D62:D63)</f>
        <v>1</v>
      </c>
      <c r="E64" s="191">
        <f>AVERAGEIFS(Table13[agg_content_type_TOTAL EXPENSES],Table13[Scope/Content Type],'INN Rollups 2021'!A55,Table13[agg_content_type_TOTAL EXPENSES],"&gt;0")</f>
        <v>317443.94541666663</v>
      </c>
      <c r="H64" s="134" t="s">
        <v>277</v>
      </c>
      <c r="I64" s="170">
        <f>SUM(I62:I63)</f>
        <v>26216671.721637428</v>
      </c>
      <c r="J64" s="173">
        <f>SUM(J62:J63)</f>
        <v>1</v>
      </c>
      <c r="K64" s="191">
        <f>AVERAGEIFS(Table13[agg_content_type_TOTAL EXPENSES],Table13[Scope/Content Type],'INN Rollups 2021'!G55,Table13[agg_content_type_TOTAL EXPENSES],"&gt;0")</f>
        <v>1272302.3821052625</v>
      </c>
      <c r="N64" s="134" t="s">
        <v>277</v>
      </c>
      <c r="O64" s="170">
        <f>SUM(O62:O63)</f>
        <v>21832320.899999999</v>
      </c>
      <c r="P64" s="173">
        <f>SUM(P62:P63)</f>
        <v>1</v>
      </c>
      <c r="Q64" s="191">
        <f>AVERAGEIFS(Table13[agg_content_type_TOTAL EXPENSES],Table13[Scope/Content Type],'INN Rollups 2021'!M55,Table13[agg_content_type_TOTAL EXPENSES],"&gt;0")</f>
        <v>1679409.3000000005</v>
      </c>
      <c r="T64" s="134" t="s">
        <v>277</v>
      </c>
      <c r="U64" s="170">
        <f>SUM(U62:U63)</f>
        <v>51879812.228260867</v>
      </c>
      <c r="V64" s="173">
        <f>SUM(V62:V63)</f>
        <v>1</v>
      </c>
      <c r="W64" s="191">
        <f>AVERAGEIFS(Table13[agg_content_type_TOTAL EXPENSES],Table13[Scope/Content Type],'INN Rollups 2021'!S55,Table13[agg_content_type_TOTAL EXPENSES],"&gt;0")</f>
        <v>2075192.4891304355</v>
      </c>
    </row>
    <row r="66" spans="1:23" x14ac:dyDescent="0.2">
      <c r="B66" s="134" t="s">
        <v>278</v>
      </c>
      <c r="C66" s="134">
        <f>SUMIF(Table13[Scope/Content Type],'INN Rollups 2021'!A55,Table13[agg_content_type_Total FTE - Editorial])</f>
        <v>99.48913043478268</v>
      </c>
      <c r="D66" s="164">
        <f>C66/C68</f>
        <v>0.55057605440795832</v>
      </c>
      <c r="E66" s="196">
        <f>AVERAGEIFS(Table13[agg_content_type_Total FTE - Editorial],Table13[Scope/Content Type],'INN Rollups 2021'!A55,Table13[agg_content_type_Total FTE - Editorial],"&gt;0")</f>
        <v>3.684782608695655</v>
      </c>
      <c r="H66" s="134" t="s">
        <v>278</v>
      </c>
      <c r="I66" s="134">
        <f>SUMIF(Table13[Scope/Content Type],'INN Rollups 2021'!G55,Table13[agg_content_type_Total FTE - Editorial])</f>
        <v>188.97777777777776</v>
      </c>
      <c r="J66" s="164">
        <f>I66/I68</f>
        <v>0.67739365939142904</v>
      </c>
      <c r="K66" s="196">
        <f>AVERAGEIFS(Table13[agg_content_type_Total FTE - Editorial],Table13[Scope/Content Type],'INN Rollups 2021'!G55,Table13[agg_content_type_Total FTE - Editorial],"&gt;0")</f>
        <v>9.448888888888888</v>
      </c>
      <c r="N66" s="134" t="s">
        <v>278</v>
      </c>
      <c r="O66" s="134">
        <f>SUMIF(Table13[Scope/Content Type],'INN Rollups 2021'!M55,Table13[agg_content_type_Total FTE - Editorial])</f>
        <v>180.21250000000003</v>
      </c>
      <c r="P66" s="164">
        <f>O66/O68</f>
        <v>0.61948385655234062</v>
      </c>
      <c r="Q66" s="196">
        <f>AVERAGEIFS(Table13[agg_content_type_Total FTE - Editorial],Table13[Scope/Content Type],'INN Rollups 2021'!M55,Table13[agg_content_type_Total FTE - Editorial],"&gt;0")</f>
        <v>13.862500000000002</v>
      </c>
      <c r="T66" s="134" t="s">
        <v>278</v>
      </c>
      <c r="U66" s="134">
        <f>SUMIF(Table13[Scope/Content Type],'INN Rollups 2021'!S55,Table13[agg_content_type_Total FTE - Editorial])</f>
        <v>299.11458333333337</v>
      </c>
      <c r="V66" s="164">
        <f>U66/U68</f>
        <v>0.58210324721396822</v>
      </c>
      <c r="W66" s="196">
        <f>AVERAGEIFS(Table13[agg_content_type_Total FTE - Editorial],Table13[Scope/Content Type],'INN Rollups 2021'!S55,Table13[agg_content_type_Total FTE - Editorial],"&gt;0")</f>
        <v>11.964583333333335</v>
      </c>
    </row>
    <row r="67" spans="1:23" x14ac:dyDescent="0.2">
      <c r="B67" s="137" t="s">
        <v>279</v>
      </c>
      <c r="C67" s="137">
        <f>SUMIF(Table13[Scope/Content Type],'INN Rollups 2021'!A55,Table13[agg_content_type_Total FTE - Non-Editorial])</f>
        <v>81.2109375</v>
      </c>
      <c r="D67" s="182">
        <f>C67/C68</f>
        <v>0.44942394559204163</v>
      </c>
      <c r="E67" s="198">
        <f>AVERAGEIFS(Table13[agg_content_type_Total FTE - Non-Editorial],Table13[Scope/Content Type],'INN Rollups 2021'!A55,Table13[agg_content_type_Total FTE - Non-Editorial],"&gt;0")</f>
        <v>3.0078125</v>
      </c>
      <c r="H67" s="137" t="s">
        <v>279</v>
      </c>
      <c r="I67" s="137">
        <f>SUMIF(Table13[Scope/Content Type],'INN Rollups 2021'!G55,Table13[agg_content_type_Total FTE - Non-Editorial])</f>
        <v>90</v>
      </c>
      <c r="J67" s="182">
        <f>I67/I68</f>
        <v>0.32260634060857102</v>
      </c>
      <c r="K67" s="198">
        <f>AVERAGEIFS(Table13[agg_content_type_Total FTE - Non-Editorial],Table13[Scope/Content Type],'INN Rollups 2021'!G55,Table13[agg_content_type_Total FTE - Non-Editorial],"&gt;0")</f>
        <v>4.5</v>
      </c>
      <c r="N67" s="137" t="s">
        <v>279</v>
      </c>
      <c r="O67" s="137">
        <f>SUMIF(Table13[Scope/Content Type],'INN Rollups 2021'!M55,Table13[agg_content_type_Total FTE - Non-Editorial])</f>
        <v>110.69500000000001</v>
      </c>
      <c r="P67" s="182">
        <f>O67/O68</f>
        <v>0.38051614344765949</v>
      </c>
      <c r="Q67" s="198">
        <f>AVERAGEIFS(Table13[agg_content_type_Total FTE - Non-Editorial],Table13[Scope/Content Type],'INN Rollups 2021'!M55,Table13[agg_content_type_Total FTE - Non-Editorial],"&gt;0")</f>
        <v>8.5150000000000006</v>
      </c>
      <c r="T67" s="137" t="s">
        <v>279</v>
      </c>
      <c r="U67" s="137">
        <f>SUMIF(Table13[Scope/Content Type],'INN Rollups 2021'!S55,Table13[agg_content_type_Total FTE - Non-Editorial])</f>
        <v>214.73684210526324</v>
      </c>
      <c r="V67" s="182">
        <f>U67/U68</f>
        <v>0.41789675278603178</v>
      </c>
      <c r="W67" s="198">
        <f>AVERAGEIFS(Table13[agg_content_type_Total FTE - Non-Editorial],Table13[Scope/Content Type],'INN Rollups 2021'!S55,Table13[agg_content_type_Total FTE - Non-Editorial],"&gt;0")</f>
        <v>8.5894736842105299</v>
      </c>
    </row>
    <row r="68" spans="1:23" x14ac:dyDescent="0.2">
      <c r="B68" s="134" t="s">
        <v>280</v>
      </c>
      <c r="C68" s="134">
        <f>SUM(C66:C67)</f>
        <v>180.70006793478268</v>
      </c>
      <c r="D68" s="186">
        <f>SUM(D66:D67)</f>
        <v>1</v>
      </c>
      <c r="E68" s="196">
        <f>AVERAGEIFS(Table13[agg_content_type_Total FTE],Table13[Scope/Content Type],'INN Rollups 2021'!A55,Table13[agg_content_type_Total FTE],"&gt;0")</f>
        <v>5.536458333333333</v>
      </c>
      <c r="H68" s="134" t="s">
        <v>280</v>
      </c>
      <c r="I68" s="134">
        <f>SUM(I66:I67)</f>
        <v>278.97777777777776</v>
      </c>
      <c r="J68" s="186">
        <f>SUM(J66:J67)</f>
        <v>1</v>
      </c>
      <c r="K68" s="196">
        <f>AVERAGEIFS(Table13[agg_content_type_Total FTE],Table13[Scope/Content Type],'INN Rollups 2021'!G55,Table13[agg_content_type_Total FTE],"&gt;0")</f>
        <v>12.19888888888889</v>
      </c>
      <c r="N68" s="134" t="s">
        <v>280</v>
      </c>
      <c r="O68" s="134">
        <f>SUM(O66:O67)</f>
        <v>290.90750000000003</v>
      </c>
      <c r="P68" s="186">
        <f>SUM(P66:P67)</f>
        <v>1</v>
      </c>
      <c r="Q68" s="196">
        <f>AVERAGEIFS(Table13[agg_content_type_Total FTE],Table13[Scope/Content Type],'INN Rollups 2021'!M55,Table13[agg_content_type_Total FTE],"&gt;0")</f>
        <v>20.958333333333336</v>
      </c>
      <c r="T68" s="134" t="s">
        <v>280</v>
      </c>
      <c r="U68" s="134">
        <f>SUM(U66:U67)</f>
        <v>513.85142543859661</v>
      </c>
      <c r="V68" s="186">
        <f>SUM(V66:V67)</f>
        <v>1</v>
      </c>
      <c r="W68" s="196">
        <f>AVERAGEIFS(Table13[agg_content_type_Total FTE],Table13[Scope/Content Type],'INN Rollups 2021'!S55,Table13[agg_content_type_Total FTE],"&gt;0")</f>
        <v>18.764583333333345</v>
      </c>
    </row>
    <row r="70" spans="1:23" s="133" customFormat="1" x14ac:dyDescent="0.2">
      <c r="A70" s="133" t="str">
        <f>'Dropdown Menus'!F3</f>
        <v>Local: Investigative</v>
      </c>
      <c r="C70" s="133">
        <f>COUNTIF(Table13[Scope/Content Type],'INN Rollups 2021'!A70)</f>
        <v>26</v>
      </c>
      <c r="G70" s="133" t="str">
        <f>'Dropdown Menus'!F6</f>
        <v>State: Investigative</v>
      </c>
      <c r="I70" s="133">
        <f>COUNTIF(Table13[Scope/Content Type],'INN Rollups 2021'!G70)</f>
        <v>23</v>
      </c>
      <c r="M70" s="133" t="str">
        <f>'Dropdown Menus'!F9</f>
        <v>Regional: Investigative</v>
      </c>
      <c r="O70" s="133">
        <f>COUNTIF(Table13[Scope/Content Type],'INN Rollups 2021'!M70)</f>
        <v>9</v>
      </c>
      <c r="S70" s="133" t="str">
        <f>'Dropdown Menus'!F12</f>
        <v>National: Investigative</v>
      </c>
      <c r="U70" s="133">
        <f>COUNTIF(Table13[Scope/Content Type],'INN Rollups 2021'!S70)</f>
        <v>16</v>
      </c>
    </row>
    <row r="72" spans="1:23" x14ac:dyDescent="0.2">
      <c r="B72" s="133"/>
      <c r="C72" s="285" t="s">
        <v>269</v>
      </c>
      <c r="D72" s="285" t="s">
        <v>270</v>
      </c>
      <c r="E72" s="285" t="s">
        <v>271</v>
      </c>
      <c r="H72" s="133"/>
      <c r="I72" s="285" t="s">
        <v>269</v>
      </c>
      <c r="J72" s="285" t="s">
        <v>270</v>
      </c>
      <c r="K72" s="285" t="s">
        <v>271</v>
      </c>
      <c r="N72" s="133"/>
      <c r="O72" s="285" t="s">
        <v>269</v>
      </c>
      <c r="P72" s="285" t="s">
        <v>270</v>
      </c>
      <c r="Q72" s="285" t="s">
        <v>271</v>
      </c>
      <c r="T72" s="133"/>
      <c r="U72" s="285" t="s">
        <v>269</v>
      </c>
      <c r="V72" s="285" t="s">
        <v>270</v>
      </c>
      <c r="W72" s="285" t="s">
        <v>271</v>
      </c>
    </row>
    <row r="73" spans="1:23" x14ac:dyDescent="0.2">
      <c r="B73" s="134" t="s">
        <v>272</v>
      </c>
      <c r="C73" s="170">
        <f>SUMIF(Table13[Scope/Content Type],'INN Rollups 2021'!A70,Table13[agg_content_type_Total Contributed Income])</f>
        <v>9255680.4491666686</v>
      </c>
      <c r="D73" s="173">
        <f>C73/C75</f>
        <v>0.79673235878919013</v>
      </c>
      <c r="E73" s="191">
        <f>AVERAGEIFS(Table13[agg_content_type_Total Contributed Income],Table13[Scope/Content Type],'INN Rollups 2021'!A70,Table13[agg_content_type_Total Contributed Income],"&gt;0")</f>
        <v>355987.7095833334</v>
      </c>
      <c r="H73" s="134" t="s">
        <v>272</v>
      </c>
      <c r="I73" s="170">
        <f>SUMIF(Table13[Scope/Content Type],'INN Rollups 2021'!G70,Table13[agg_content_type_Total Contributed Income])</f>
        <v>21133334.674000002</v>
      </c>
      <c r="J73" s="173">
        <f>I73/I75</f>
        <v>0.47528542830262754</v>
      </c>
      <c r="K73" s="191">
        <f>AVERAGEIFS(Table13[agg_content_type_Total Contributed Income],Table13[Scope/Content Type],'INN Rollups 2021'!G70,Table13[agg_content_type_Total Contributed Income],"&gt;0")</f>
        <v>918840.63800000015</v>
      </c>
      <c r="N73" s="134" t="s">
        <v>272</v>
      </c>
      <c r="O73" s="170">
        <f>SUMIF(Table13[Scope/Content Type],'INN Rollups 2021'!M70,Table13[agg_content_type_Total Contributed Income])</f>
        <v>2630194.3414285714</v>
      </c>
      <c r="P73" s="173">
        <f>O73/O75</f>
        <v>0.92508231062853108</v>
      </c>
      <c r="Q73" s="191">
        <f>AVERAGEIFS(Table13[agg_content_type_Total Contributed Income],Table13[Scope/Content Type],'INN Rollups 2021'!M70,Table13[agg_content_type_Total Contributed Income],"&gt;0")</f>
        <v>292243.81571428571</v>
      </c>
      <c r="T73" s="134" t="s">
        <v>272</v>
      </c>
      <c r="U73" s="170">
        <f>SUMIF(Table13[Scope/Content Type],'INN Rollups 2021'!S70,Table13[agg_content_type_Total Contributed Income])</f>
        <v>71290934.018461555</v>
      </c>
      <c r="V73" s="173">
        <f>U73/U75</f>
        <v>0.95964017376947253</v>
      </c>
      <c r="W73" s="191">
        <f>AVERAGEIFS(Table13[agg_content_type_Total Contributed Income],Table13[Scope/Content Type],'INN Rollups 2021'!S70,Table13[agg_content_type_Total Contributed Income],"&gt;0")</f>
        <v>4455683.3761538472</v>
      </c>
    </row>
    <row r="74" spans="1:23" x14ac:dyDescent="0.2">
      <c r="B74" s="137" t="s">
        <v>273</v>
      </c>
      <c r="C74" s="181">
        <f>SUMIF(Table13[Scope/Content Type],'INN Rollups 2021'!A70,Table13[agg_content_type_Total Earned Income])</f>
        <v>2361370.5555555564</v>
      </c>
      <c r="D74" s="180">
        <f>C74/C75</f>
        <v>0.20326764121080995</v>
      </c>
      <c r="E74" s="250">
        <f>AVERAGEIFS(Table13[agg_content_type_Total Earned Income],Table13[Scope/Content Type],'INN Rollups 2021'!A70,Table13[agg_content_type_Total Earned Income],"&gt;0")</f>
        <v>90821.944444444482</v>
      </c>
      <c r="H74" s="137" t="s">
        <v>273</v>
      </c>
      <c r="I74" s="181">
        <f>SUMIF(Table13[Scope/Content Type],'INN Rollups 2021'!G70,Table13[agg_content_type_Total Earned Income])</f>
        <v>23331177.418181825</v>
      </c>
      <c r="J74" s="180">
        <f>I74/I75</f>
        <v>0.52471457169737235</v>
      </c>
      <c r="K74" s="250">
        <f>AVERAGEIFS(Table13[agg_content_type_Total Earned Income],Table13[Scope/Content Type],'INN Rollups 2021'!G70,Table13[agg_content_type_Total Earned Income],"&gt;0")</f>
        <v>1014399.0181818185</v>
      </c>
      <c r="N74" s="137" t="s">
        <v>273</v>
      </c>
      <c r="O74" s="181">
        <f>SUMIF(Table13[Scope/Content Type],'INN Rollups 2021'!M70,Table13[agg_content_type_Total Earned Income])</f>
        <v>213006.00000000003</v>
      </c>
      <c r="P74" s="180">
        <f>O74/O75</f>
        <v>7.4917689371468893E-2</v>
      </c>
      <c r="Q74" s="250">
        <f>AVERAGEIFS(Table13[agg_content_type_Total Earned Income],Table13[Scope/Content Type],'INN Rollups 2021'!M70,Table13[agg_content_type_Total Earned Income],"&gt;0")</f>
        <v>23667.333333333336</v>
      </c>
      <c r="T74" s="137" t="s">
        <v>273</v>
      </c>
      <c r="U74" s="181">
        <f>SUMIF(Table13[Scope/Content Type],'INN Rollups 2021'!S70,Table13[agg_content_type_Total Earned Income])</f>
        <v>2998300.600000001</v>
      </c>
      <c r="V74" s="180">
        <f>U74/U75</f>
        <v>4.0359826230527564E-2</v>
      </c>
      <c r="W74" s="250">
        <f>AVERAGEIFS(Table13[agg_content_type_Total Earned Income],Table13[Scope/Content Type],'INN Rollups 2021'!S70,Table13[agg_content_type_Total Earned Income],"&gt;0")</f>
        <v>187393.78750000006</v>
      </c>
    </row>
    <row r="75" spans="1:23" x14ac:dyDescent="0.2">
      <c r="B75" s="134" t="s">
        <v>274</v>
      </c>
      <c r="C75" s="170">
        <f>SUM(C73:C74)</f>
        <v>11617051.004722225</v>
      </c>
      <c r="D75" s="185">
        <f>SUM(D73:D74)</f>
        <v>1</v>
      </c>
      <c r="E75" s="191">
        <f>AVERAGEIFS(Table13[agg_content_type_TOTAL INCOME],Table13[Scope/Content Type],'INN Rollups 2021'!A70,Table13[agg_content_type_TOTAL INCOME],"&gt;0")</f>
        <v>424104.16791666672</v>
      </c>
      <c r="H75" s="134" t="s">
        <v>274</v>
      </c>
      <c r="I75" s="170">
        <f>SUM(I73:I74)</f>
        <v>44464512.092181832</v>
      </c>
      <c r="J75" s="185">
        <f>SUM(J73:J74)</f>
        <v>0.99999999999999989</v>
      </c>
      <c r="K75" s="191">
        <f>AVERAGEIFS(Table13[agg_content_type_TOTAL INCOME],Table13[Scope/Content Type],'INN Rollups 2021'!G70,Table13[agg_content_type_TOTAL INCOME],"&gt;0")</f>
        <v>1476760.0980000005</v>
      </c>
      <c r="N75" s="134" t="s">
        <v>274</v>
      </c>
      <c r="O75" s="170">
        <f>SUM(O73:O74)</f>
        <v>2843200.3414285714</v>
      </c>
      <c r="P75" s="185">
        <f>SUM(P73:P74)</f>
        <v>1</v>
      </c>
      <c r="Q75" s="191">
        <f>AVERAGEIFS(Table13[agg_content_type_TOTAL INCOME],Table13[Scope/Content Type],'INN Rollups 2021'!M70,Table13[agg_content_type_TOTAL INCOME],"&gt;0")</f>
        <v>302386.95857142849</v>
      </c>
      <c r="T75" s="134" t="s">
        <v>274</v>
      </c>
      <c r="U75" s="170">
        <f>SUM(U73:U74)</f>
        <v>74289234.618461549</v>
      </c>
      <c r="V75" s="185">
        <f>SUM(V73:V74)</f>
        <v>1</v>
      </c>
      <c r="W75" s="191">
        <f>AVERAGEIFS(Table13[agg_content_type_TOTAL INCOME],Table13[Scope/Content Type],'INN Rollups 2021'!S70,Table13[agg_content_type_TOTAL INCOME],"&gt;0")</f>
        <v>4628662.2569230786</v>
      </c>
    </row>
    <row r="76" spans="1:23" x14ac:dyDescent="0.2">
      <c r="C76" s="191"/>
      <c r="E76" s="191"/>
      <c r="I76" s="191"/>
      <c r="K76" s="191"/>
      <c r="O76" s="191"/>
      <c r="Q76" s="191"/>
      <c r="U76" s="191"/>
      <c r="W76" s="191"/>
    </row>
    <row r="77" spans="1:23" x14ac:dyDescent="0.2">
      <c r="B77" s="134" t="s">
        <v>275</v>
      </c>
      <c r="C77" s="170">
        <f>SUMIF(Table13[Scope/Content Type],'INN Rollups 2021'!A70,Table13[agg_content_type_Expenses - Editorial])</f>
        <v>6861549.0272727245</v>
      </c>
      <c r="D77" s="173">
        <f>C77/C79</f>
        <v>0.68073425465927329</v>
      </c>
      <c r="E77" s="191">
        <f>AVERAGEIFS(Table13[agg_content_type_Expenses - Editorial],Table13[Scope/Content Type],'INN Rollups 2021'!A70,Table13[agg_content_type_Expenses - Editorial],"&gt;0")</f>
        <v>263905.7318181817</v>
      </c>
      <c r="H77" s="134" t="s">
        <v>275</v>
      </c>
      <c r="I77" s="170">
        <f>SUMIF(Table13[Scope/Content Type],'INN Rollups 2021'!G70,Table13[agg_content_type_Expenses - Editorial])</f>
        <v>22143399.810500003</v>
      </c>
      <c r="J77" s="173">
        <f>I77/I79</f>
        <v>0.72719135026851189</v>
      </c>
      <c r="K77" s="191">
        <f>AVERAGEIFS(Table13[agg_content_type_Expenses - Editorial],Table13[Scope/Content Type],'INN Rollups 2021'!G70,Table13[agg_content_type_Expenses - Editorial],"&gt;0")</f>
        <v>962756.51350000012</v>
      </c>
      <c r="N77" s="134" t="s">
        <v>275</v>
      </c>
      <c r="O77" s="170">
        <f>SUMIF(Table13[Scope/Content Type],'INN Rollups 2021'!M70,Table13[agg_content_type_Expenses - Editorial])</f>
        <v>1778640.0000000002</v>
      </c>
      <c r="P77" s="173">
        <f>O77/O79</f>
        <v>0.71756694360513007</v>
      </c>
      <c r="Q77" s="191">
        <f>AVERAGEIFS(Table13[agg_content_type_Expenses - Editorial],Table13[Scope/Content Type],'INN Rollups 2021'!M70,Table13[agg_content_type_Expenses - Editorial],"&gt;0")</f>
        <v>197626.66666666669</v>
      </c>
      <c r="T77" s="134" t="s">
        <v>275</v>
      </c>
      <c r="U77" s="170">
        <f>SUMIF(Table13[Scope/Content Type],'INN Rollups 2021'!S70,Table13[agg_content_type_Expenses - Editorial])</f>
        <v>43618508.799999997</v>
      </c>
      <c r="V77" s="173">
        <f>U77/U79</f>
        <v>0.55979947709604505</v>
      </c>
      <c r="W77" s="191">
        <f>AVERAGEIFS(Table13[agg_content_type_Expenses - Editorial],Table13[Scope/Content Type],'INN Rollups 2021'!S70,Table13[agg_content_type_Expenses - Editorial],"&gt;0")</f>
        <v>2726156.8</v>
      </c>
    </row>
    <row r="78" spans="1:23" x14ac:dyDescent="0.2">
      <c r="B78" s="137" t="s">
        <v>276</v>
      </c>
      <c r="C78" s="181">
        <f>SUMIF(Table13[Scope/Content Type],'INN Rollups 2021'!A70,Table13[agg_content_type_Expenses - Non-Editorial])</f>
        <v>3218080.4027272738</v>
      </c>
      <c r="D78" s="180">
        <f>C78/C79</f>
        <v>0.31926574534072671</v>
      </c>
      <c r="E78" s="250">
        <f>AVERAGEIFS(Table13[agg_content_type_Expenses - Non-Editorial],Table13[Scope/Content Type],'INN Rollups 2021'!A70,Table13[agg_content_type_Expenses - Non-Editorial],"&gt;0")</f>
        <v>123772.32318181822</v>
      </c>
      <c r="H78" s="137" t="s">
        <v>276</v>
      </c>
      <c r="I78" s="181">
        <f>SUMIF(Table13[Scope/Content Type],'INN Rollups 2021'!G70,Table13[agg_content_type_Expenses - Non-Editorial])</f>
        <v>8307182.1474999953</v>
      </c>
      <c r="J78" s="180">
        <f>I78/I79</f>
        <v>0.27280864973148822</v>
      </c>
      <c r="K78" s="250">
        <f>AVERAGEIFS(Table13[agg_content_type_Expenses - Non-Editorial],Table13[Scope/Content Type],'INN Rollups 2021'!G70,Table13[agg_content_type_Expenses - Non-Editorial],"&gt;0")</f>
        <v>361181.83249999979</v>
      </c>
      <c r="N78" s="137" t="s">
        <v>276</v>
      </c>
      <c r="O78" s="181">
        <f>SUMIF(Table13[Scope/Content Type],'INN Rollups 2021'!M70,Table13[agg_content_type_Expenses - Non-Editorial])</f>
        <v>700069.5</v>
      </c>
      <c r="P78" s="180">
        <f>O78/O79</f>
        <v>0.28243305639486999</v>
      </c>
      <c r="Q78" s="250">
        <f>AVERAGEIFS(Table13[agg_content_type_Expenses - Non-Editorial],Table13[Scope/Content Type],'INN Rollups 2021'!M70,Table13[agg_content_type_Expenses - Non-Editorial],"&gt;0")</f>
        <v>77785.5</v>
      </c>
      <c r="T78" s="137" t="s">
        <v>276</v>
      </c>
      <c r="U78" s="181">
        <f>SUMIF(Table13[Scope/Content Type],'INN Rollups 2021'!S70,Table13[agg_content_type_Expenses - Non-Editorial])</f>
        <v>34299586.133333333</v>
      </c>
      <c r="V78" s="180">
        <f>U78/U79</f>
        <v>0.44020052290395489</v>
      </c>
      <c r="W78" s="250">
        <f>AVERAGEIFS(Table13[agg_content_type_Expenses - Non-Editorial],Table13[Scope/Content Type],'INN Rollups 2021'!S70,Table13[agg_content_type_Expenses - Non-Editorial],"&gt;0")</f>
        <v>2143724.1333333333</v>
      </c>
    </row>
    <row r="79" spans="1:23" x14ac:dyDescent="0.2">
      <c r="B79" s="134" t="s">
        <v>277</v>
      </c>
      <c r="C79" s="170">
        <f>SUM(C77:C78)</f>
        <v>10079629.429999998</v>
      </c>
      <c r="D79" s="173">
        <f>SUM(D77:D78)</f>
        <v>1</v>
      </c>
      <c r="E79" s="191">
        <f>AVERAGEIFS(Table13[agg_content_type_TOTAL EXPENSES],Table13[Scope/Content Type],'INN Rollups 2021'!A70,Table13[agg_content_type_TOTAL EXPENSES],"&gt;0")</f>
        <v>387678.05499999993</v>
      </c>
      <c r="H79" s="134" t="s">
        <v>277</v>
      </c>
      <c r="I79" s="170">
        <f>SUM(I77:I78)</f>
        <v>30450581.957999997</v>
      </c>
      <c r="J79" s="173">
        <f>SUM(J77:J78)</f>
        <v>1</v>
      </c>
      <c r="K79" s="191">
        <f>AVERAGEIFS(Table13[agg_content_type_TOTAL EXPENSES],Table13[Scope/Content Type],'INN Rollups 2021'!G70,Table13[agg_content_type_TOTAL EXPENSES],"&gt;0")</f>
        <v>1323938.3460000006</v>
      </c>
      <c r="N79" s="134" t="s">
        <v>277</v>
      </c>
      <c r="O79" s="170">
        <f>SUM(O77:O78)</f>
        <v>2478709.5</v>
      </c>
      <c r="P79" s="173">
        <f>SUM(P77:P78)</f>
        <v>1</v>
      </c>
      <c r="Q79" s="191">
        <f>AVERAGEIFS(Table13[agg_content_type_TOTAL EXPENSES],Table13[Scope/Content Type],'INN Rollups 2021'!M70,Table13[agg_content_type_TOTAL EXPENSES],"&gt;0")</f>
        <v>275412.16666666669</v>
      </c>
      <c r="T79" s="134" t="s">
        <v>277</v>
      </c>
      <c r="U79" s="170">
        <f>SUM(U77:U78)</f>
        <v>77918094.933333337</v>
      </c>
      <c r="V79" s="173">
        <f>SUM(V77:V78)</f>
        <v>1</v>
      </c>
      <c r="W79" s="191">
        <f>AVERAGEIFS(Table13[agg_content_type_TOTAL EXPENSES],Table13[Scope/Content Type],'INN Rollups 2021'!S70,Table13[agg_content_type_TOTAL EXPENSES],"&gt;0")</f>
        <v>4869880.9333333354</v>
      </c>
    </row>
    <row r="81" spans="1:23" x14ac:dyDescent="0.2">
      <c r="B81" s="134" t="s">
        <v>278</v>
      </c>
      <c r="C81" s="134">
        <f>SUMIF(Table13[Scope/Content Type],'INN Rollups 2021'!A70,Table13[agg_content_type_Total FTE - Editorial])</f>
        <v>119.8826086956521</v>
      </c>
      <c r="D81" s="164">
        <f>C81/C83</f>
        <v>0.69470254615663063</v>
      </c>
      <c r="E81" s="196">
        <f>AVERAGEIFS(Table13[agg_content_type_Total FTE - Editorial],Table13[Scope/Content Type],'INN Rollups 2021'!A70,Table13[agg_content_type_Total FTE - Editorial],"&gt;0")</f>
        <v>4.6108695652173886</v>
      </c>
      <c r="H81" s="134" t="s">
        <v>278</v>
      </c>
      <c r="I81" s="134">
        <f>SUMIF(Table13[Scope/Content Type],'INN Rollups 2021'!G70,Table13[agg_content_type_Total FTE - Editorial])</f>
        <v>193.50000000000006</v>
      </c>
      <c r="J81" s="164">
        <f>I81/I83</f>
        <v>0.61575178997613367</v>
      </c>
      <c r="K81" s="196">
        <f>AVERAGEIFS(Table13[agg_content_type_Total FTE - Editorial],Table13[Scope/Content Type],'INN Rollups 2021'!G70,Table13[agg_content_type_Total FTE - Editorial],"&gt;0")</f>
        <v>8.4130434782608727</v>
      </c>
      <c r="N81" s="134" t="s">
        <v>278</v>
      </c>
      <c r="O81" s="134">
        <f>SUMIF(Table13[Scope/Content Type],'INN Rollups 2021'!M70,Table13[agg_content_type_Total FTE - Editorial])</f>
        <v>28</v>
      </c>
      <c r="P81" s="164">
        <f>O81/O83</f>
        <v>0.6534422403733956</v>
      </c>
      <c r="Q81" s="196">
        <f>AVERAGEIFS(Table13[agg_content_type_Total FTE - Editorial],Table13[Scope/Content Type],'INN Rollups 2021'!M70,Table13[agg_content_type_Total FTE - Editorial],"&gt;0")</f>
        <v>3.1111111111111112</v>
      </c>
      <c r="T81" s="134" t="s">
        <v>278</v>
      </c>
      <c r="U81" s="134">
        <f>SUMIF(Table13[Scope/Content Type],'INN Rollups 2021'!S70,Table13[agg_content_type_Total FTE - Editorial])</f>
        <v>272</v>
      </c>
      <c r="V81" s="164">
        <f>U81/U83</f>
        <v>0.70663469224620312</v>
      </c>
      <c r="W81" s="196">
        <f>AVERAGEIFS(Table13[agg_content_type_Total FTE - Editorial],Table13[Scope/Content Type],'INN Rollups 2021'!S70,Table13[agg_content_type_Total FTE - Editorial],"&gt;0")</f>
        <v>17</v>
      </c>
    </row>
    <row r="82" spans="1:23" x14ac:dyDescent="0.2">
      <c r="B82" s="137" t="s">
        <v>279</v>
      </c>
      <c r="C82" s="137">
        <f>SUMIF(Table13[Scope/Content Type],'INN Rollups 2021'!A70,Table13[agg_content_type_Total FTE - Non-Editorial])</f>
        <v>52.684210526315802</v>
      </c>
      <c r="D82" s="182">
        <f>C82/C83</f>
        <v>0.30529745384336932</v>
      </c>
      <c r="E82" s="198">
        <f>AVERAGEIFS(Table13[agg_content_type_Total FTE - Non-Editorial],Table13[Scope/Content Type],'INN Rollups 2021'!A70,Table13[agg_content_type_Total FTE - Non-Editorial],"&gt;0")</f>
        <v>2.0263157894736845</v>
      </c>
      <c r="H82" s="137" t="s">
        <v>279</v>
      </c>
      <c r="I82" s="137">
        <f>SUMIF(Table13[Scope/Content Type],'INN Rollups 2021'!G70,Table13[agg_content_type_Total FTE - Non-Editorial])</f>
        <v>120.75</v>
      </c>
      <c r="J82" s="182">
        <f>I82/I83</f>
        <v>0.38424821002386628</v>
      </c>
      <c r="K82" s="198">
        <f>AVERAGEIFS(Table13[agg_content_type_Total FTE - Non-Editorial],Table13[Scope/Content Type],'INN Rollups 2021'!G70,Table13[agg_content_type_Total FTE - Non-Editorial],"&gt;0")</f>
        <v>5.25</v>
      </c>
      <c r="N82" s="137" t="s">
        <v>279</v>
      </c>
      <c r="O82" s="137">
        <f>SUMIF(Table13[Scope/Content Type],'INN Rollups 2021'!M70,Table13[agg_content_type_Total FTE - Non-Editorial])</f>
        <v>14.850000000000001</v>
      </c>
      <c r="P82" s="182">
        <f>O82/O83</f>
        <v>0.34655775962660446</v>
      </c>
      <c r="Q82" s="198">
        <f>AVERAGEIFS(Table13[agg_content_type_Total FTE - Non-Editorial],Table13[Scope/Content Type],'INN Rollups 2021'!M70,Table13[agg_content_type_Total FTE - Non-Editorial],"&gt;0")</f>
        <v>1.6500000000000001</v>
      </c>
      <c r="T82" s="137" t="s">
        <v>279</v>
      </c>
      <c r="U82" s="137">
        <f>SUMIF(Table13[Scope/Content Type],'INN Rollups 2021'!S70,Table13[agg_content_type_Total FTE - Non-Editorial])</f>
        <v>112.92307692307692</v>
      </c>
      <c r="V82" s="182">
        <f>U82/U83</f>
        <v>0.29336530775379699</v>
      </c>
      <c r="W82" s="198">
        <f>AVERAGEIFS(Table13[agg_content_type_Total FTE - Non-Editorial],Table13[Scope/Content Type],'INN Rollups 2021'!S70,Table13[agg_content_type_Total FTE - Non-Editorial],"&gt;0")</f>
        <v>7.0576923076923075</v>
      </c>
    </row>
    <row r="83" spans="1:23" x14ac:dyDescent="0.2">
      <c r="B83" s="134" t="s">
        <v>280</v>
      </c>
      <c r="C83" s="134">
        <f>SUM(C81:C82)</f>
        <v>172.5668192219679</v>
      </c>
      <c r="D83" s="186">
        <f>SUM(D81:D82)</f>
        <v>1</v>
      </c>
      <c r="E83" s="196">
        <f>AVERAGEIFS(Table13[agg_content_type_Total FTE],Table13[Scope/Content Type],'INN Rollups 2021'!A70,Table13[agg_content_type_Total FTE],"&gt;0")</f>
        <v>6.2847826086956511</v>
      </c>
      <c r="H83" s="134" t="s">
        <v>280</v>
      </c>
      <c r="I83" s="134">
        <f>SUM(I81:I82)</f>
        <v>314.25000000000006</v>
      </c>
      <c r="J83" s="186">
        <f>SUM(J81:J82)</f>
        <v>1</v>
      </c>
      <c r="K83" s="196">
        <f>AVERAGEIFS(Table13[agg_content_type_Total FTE],Table13[Scope/Content Type],'INN Rollups 2021'!G70,Table13[agg_content_type_Total FTE],"&gt;0")</f>
        <v>11.608695652173909</v>
      </c>
      <c r="N83" s="134" t="s">
        <v>280</v>
      </c>
      <c r="O83" s="134">
        <f>SUM(O81:O82)</f>
        <v>42.85</v>
      </c>
      <c r="P83" s="186">
        <f>SUM(P81:P82)</f>
        <v>1</v>
      </c>
      <c r="Q83" s="196">
        <f>AVERAGEIFS(Table13[agg_content_type_Total FTE],Table13[Scope/Content Type],'INN Rollups 2021'!M70,Table13[agg_content_type_Total FTE],"&gt;0")</f>
        <v>4.0277777777777777</v>
      </c>
      <c r="T83" s="134" t="s">
        <v>280</v>
      </c>
      <c r="U83" s="134">
        <f>SUM(U81:U82)</f>
        <v>384.92307692307691</v>
      </c>
      <c r="V83" s="186">
        <f>SUM(V81:V82)</f>
        <v>1</v>
      </c>
      <c r="W83" s="196">
        <f>AVERAGEIFS(Table13[agg_content_type_Total FTE],Table13[Scope/Content Type],'INN Rollups 2021'!S70,Table13[agg_content_type_Total FTE],"&gt;0")</f>
        <v>22.734375</v>
      </c>
    </row>
    <row r="85" spans="1:23" s="133" customFormat="1" x14ac:dyDescent="0.2">
      <c r="A85" s="133" t="str">
        <f>'Dropdown Menus'!F4</f>
        <v>Local: Current News &amp; Events</v>
      </c>
      <c r="C85" s="133">
        <f>COUNTIF(Table13[Scope/Content Type],'INN Rollups 2021'!A85)</f>
        <v>39</v>
      </c>
      <c r="G85" s="133" t="str">
        <f>'Dropdown Menus'!F7</f>
        <v>State: Current News &amp; Events</v>
      </c>
      <c r="I85" s="133">
        <f>COUNTIF(Table13[Scope/Content Type],'INN Rollups 2021'!G85)</f>
        <v>19</v>
      </c>
      <c r="M85" s="133" t="str">
        <f>'Dropdown Menus'!F10</f>
        <v>Regional: Current News &amp; Events</v>
      </c>
      <c r="O85" s="133">
        <f>COUNTIF(Table13[Scope/Content Type],'INN Rollups 2021'!M85)</f>
        <v>8</v>
      </c>
      <c r="S85" s="133" t="str">
        <f>'Dropdown Menus'!F13</f>
        <v>National: Current News &amp; Events</v>
      </c>
      <c r="U85" s="133">
        <f>COUNTIF(Table13[Scope/Content Type],'INN Rollups 2021'!S85)</f>
        <v>8</v>
      </c>
    </row>
    <row r="87" spans="1:23" x14ac:dyDescent="0.2">
      <c r="B87" s="133"/>
      <c r="C87" s="285" t="s">
        <v>269</v>
      </c>
      <c r="D87" s="285" t="s">
        <v>270</v>
      </c>
      <c r="E87" s="285" t="s">
        <v>271</v>
      </c>
      <c r="H87" s="133"/>
      <c r="I87" s="285" t="s">
        <v>269</v>
      </c>
      <c r="J87" s="285" t="s">
        <v>270</v>
      </c>
      <c r="K87" s="285" t="s">
        <v>271</v>
      </c>
      <c r="N87" s="133"/>
      <c r="O87" s="285" t="s">
        <v>269</v>
      </c>
      <c r="P87" s="285" t="s">
        <v>270</v>
      </c>
      <c r="Q87" s="285" t="s">
        <v>271</v>
      </c>
      <c r="T87" s="133"/>
      <c r="U87" s="285" t="s">
        <v>269</v>
      </c>
      <c r="V87" s="285" t="s">
        <v>270</v>
      </c>
      <c r="W87" s="285" t="s">
        <v>271</v>
      </c>
    </row>
    <row r="88" spans="1:23" x14ac:dyDescent="0.2">
      <c r="B88" s="134" t="s">
        <v>272</v>
      </c>
      <c r="C88" s="170">
        <f>SUMIF(Table13[Scope/Content Type],'INN Rollups 2021'!A85,Table13[agg_content_type_Total Contributed Income])</f>
        <v>20211817.015000012</v>
      </c>
      <c r="D88" s="173">
        <f>C88/C90</f>
        <v>0.74149660635744197</v>
      </c>
      <c r="E88" s="191">
        <f>AVERAGEIFS(Table13[agg_content_type_Total Contributed Income],Table13[Scope/Content Type],'INN Rollups 2021'!A85,Table13[agg_content_type_Total Contributed Income],"&gt;0")</f>
        <v>518251.71833333361</v>
      </c>
      <c r="H88" s="134" t="s">
        <v>272</v>
      </c>
      <c r="I88" s="170">
        <f>SUMIF(Table13[Scope/Content Type],'INN Rollups 2021'!G85,Table13[agg_content_type_Total Contributed Income])</f>
        <v>14042265.115000006</v>
      </c>
      <c r="J88" s="173">
        <f>I88/I90</f>
        <v>0.52861396065499777</v>
      </c>
      <c r="K88" s="191">
        <f>AVERAGEIFS(Table13[agg_content_type_Total Contributed Income],Table13[Scope/Content Type],'INN Rollups 2021'!G85,Table13[agg_content_type_Total Contributed Income],"&gt;0")</f>
        <v>739066.58500000031</v>
      </c>
      <c r="N88" s="134" t="s">
        <v>272</v>
      </c>
      <c r="O88" s="170">
        <f>SUMIF(Table13[Scope/Content Type],'INN Rollups 2021'!M85,Table13[agg_content_type_Total Contributed Income])</f>
        <v>1875348</v>
      </c>
      <c r="P88" s="173">
        <f>O88/O90</f>
        <v>0.82963407318536297</v>
      </c>
      <c r="Q88" s="191">
        <f>AVERAGEIFS(Table13[agg_content_type_Total Contributed Income],Table13[Scope/Content Type],'INN Rollups 2021'!M85,Table13[agg_content_type_Total Contributed Income],"&gt;0")</f>
        <v>234418.5</v>
      </c>
      <c r="T88" s="134" t="s">
        <v>272</v>
      </c>
      <c r="U88" s="170">
        <f>SUMIF(Table13[Scope/Content Type],'INN Rollups 2021'!S85,Table13[agg_content_type_Total Contributed Income])</f>
        <v>51807977.159999996</v>
      </c>
      <c r="V88" s="173">
        <f>U88/U90</f>
        <v>0.93832877467561915</v>
      </c>
      <c r="W88" s="191">
        <f>AVERAGEIFS(Table13[agg_content_type_Total Contributed Income],Table13[Scope/Content Type],'INN Rollups 2021'!S85,Table13[agg_content_type_Total Contributed Income],"&gt;0")</f>
        <v>6475997.1449999996</v>
      </c>
    </row>
    <row r="89" spans="1:23" x14ac:dyDescent="0.2">
      <c r="B89" s="137" t="s">
        <v>273</v>
      </c>
      <c r="C89" s="181">
        <f>SUMIF(Table13[Scope/Content Type],'INN Rollups 2021'!A85,Table13[agg_content_type_Total Earned Income])</f>
        <v>7046321.2444444411</v>
      </c>
      <c r="D89" s="180">
        <f>C89/C90</f>
        <v>0.25850339364255803</v>
      </c>
      <c r="E89" s="250">
        <f>AVERAGEIFS(Table13[agg_content_type_Total Earned Income],Table13[Scope/Content Type],'INN Rollups 2021'!A85,Table13[agg_content_type_Total Earned Income],"&gt;0")</f>
        <v>180674.9037037036</v>
      </c>
      <c r="H89" s="137" t="s">
        <v>273</v>
      </c>
      <c r="I89" s="181">
        <f>SUMIF(Table13[Scope/Content Type],'INN Rollups 2021'!G85,Table13[agg_content_type_Total Earned Income])</f>
        <v>12522044.873333337</v>
      </c>
      <c r="J89" s="180">
        <f>I89/I90</f>
        <v>0.47138603934500217</v>
      </c>
      <c r="K89" s="250">
        <f>AVERAGEIFS(Table13[agg_content_type_Total Earned Income],Table13[Scope/Content Type],'INN Rollups 2021'!G85,Table13[agg_content_type_Total Earned Income],"&gt;0")</f>
        <v>659054.99333333352</v>
      </c>
      <c r="N89" s="137" t="s">
        <v>273</v>
      </c>
      <c r="O89" s="181">
        <f>SUMIF(Table13[Scope/Content Type],'INN Rollups 2021'!M85,Table13[agg_content_type_Total Earned Income])</f>
        <v>385104</v>
      </c>
      <c r="P89" s="180">
        <f>O89/O90</f>
        <v>0.17036592681463708</v>
      </c>
      <c r="Q89" s="250">
        <f>AVERAGEIFS(Table13[agg_content_type_Total Earned Income],Table13[Scope/Content Type],'INN Rollups 2021'!M85,Table13[agg_content_type_Total Earned Income],"&gt;0")</f>
        <v>48138</v>
      </c>
      <c r="T89" s="137" t="s">
        <v>273</v>
      </c>
      <c r="U89" s="181">
        <f>SUMIF(Table13[Scope/Content Type],'INN Rollups 2021'!S85,Table13[agg_content_type_Total Earned Income])</f>
        <v>3405055.3700000006</v>
      </c>
      <c r="V89" s="180">
        <f>U89/U90</f>
        <v>6.1671225324380873E-2</v>
      </c>
      <c r="W89" s="250">
        <f>AVERAGEIFS(Table13[agg_content_type_Total Earned Income],Table13[Scope/Content Type],'INN Rollups 2021'!S85,Table13[agg_content_type_Total Earned Income],"&gt;0")</f>
        <v>425631.92125000007</v>
      </c>
    </row>
    <row r="90" spans="1:23" x14ac:dyDescent="0.2">
      <c r="B90" s="134" t="s">
        <v>274</v>
      </c>
      <c r="C90" s="170">
        <f>SUM(C88:C89)</f>
        <v>27258138.259444453</v>
      </c>
      <c r="D90" s="185">
        <f>SUM(D88:D89)</f>
        <v>1</v>
      </c>
      <c r="E90" s="191">
        <f>AVERAGEIFS(Table13[agg_content_type_TOTAL INCOME],Table13[Scope/Content Type],'INN Rollups 2021'!A85,Table13[agg_content_type_TOTAL INCOME],"&gt;0")</f>
        <v>658895.93387096759</v>
      </c>
      <c r="H90" s="134" t="s">
        <v>274</v>
      </c>
      <c r="I90" s="170">
        <f>SUM(I88:I89)</f>
        <v>26564309.988333344</v>
      </c>
      <c r="J90" s="185">
        <f>SUM(J88:J89)</f>
        <v>1</v>
      </c>
      <c r="K90" s="191">
        <f>AVERAGEIFS(Table13[agg_content_type_TOTAL INCOME],Table13[Scope/Content Type],'INN Rollups 2021'!G85,Table13[agg_content_type_TOTAL INCOME],"&gt;0")</f>
        <v>1233357.8299999998</v>
      </c>
      <c r="N90" s="134" t="s">
        <v>274</v>
      </c>
      <c r="O90" s="170">
        <f>SUM(O88:O89)</f>
        <v>2260452</v>
      </c>
      <c r="P90" s="185">
        <f>SUM(P88:P89)</f>
        <v>1</v>
      </c>
      <c r="Q90" s="191">
        <f>AVERAGEIFS(Table13[agg_content_type_TOTAL INCOME],Table13[Scope/Content Type],'INN Rollups 2021'!M85,Table13[agg_content_type_TOTAL INCOME],"&gt;0")</f>
        <v>258487.5</v>
      </c>
      <c r="T90" s="134" t="s">
        <v>274</v>
      </c>
      <c r="U90" s="170">
        <f>SUM(U88:U89)</f>
        <v>55213032.529999994</v>
      </c>
      <c r="V90" s="185">
        <f>SUM(V88:V89)</f>
        <v>1</v>
      </c>
      <c r="W90" s="191">
        <f>AVERAGEIFS(Table13[agg_content_type_TOTAL INCOME],Table13[Scope/Content Type],'INN Rollups 2021'!S85,Table13[agg_content_type_TOTAL INCOME],"&gt;0")</f>
        <v>6901629.0662499983</v>
      </c>
    </row>
    <row r="91" spans="1:23" x14ac:dyDescent="0.2">
      <c r="C91" s="191"/>
      <c r="E91" s="191"/>
      <c r="I91" s="191"/>
      <c r="K91" s="191"/>
      <c r="O91" s="191"/>
      <c r="Q91" s="191"/>
      <c r="U91" s="191"/>
      <c r="W91" s="191"/>
    </row>
    <row r="92" spans="1:23" x14ac:dyDescent="0.2">
      <c r="B92" s="134" t="s">
        <v>275</v>
      </c>
      <c r="C92" s="170">
        <f>SUMIF(Table13[Scope/Content Type],'INN Rollups 2021'!A85,Table13[agg_content_type_Expenses - Editorial])</f>
        <v>20012207.925937496</v>
      </c>
      <c r="D92" s="173">
        <f>C92/C94</f>
        <v>0.57626670521744883</v>
      </c>
      <c r="E92" s="191">
        <f>AVERAGEIFS(Table13[agg_content_type_Expenses - Editorial],Table13[Scope/Content Type],'INN Rollups 2021'!A85,Table13[agg_content_type_Expenses - Editorial],"&gt;0")</f>
        <v>513133.53656249988</v>
      </c>
      <c r="H92" s="134" t="s">
        <v>275</v>
      </c>
      <c r="I92" s="170">
        <f>SUMIF(Table13[Scope/Content Type],'INN Rollups 2021'!G85,Table13[agg_content_type_Expenses - Editorial])</f>
        <v>9383937.8825000022</v>
      </c>
      <c r="J92" s="173">
        <f>I92/I94</f>
        <v>0.55529610214584613</v>
      </c>
      <c r="K92" s="191">
        <f>AVERAGEIFS(Table13[agg_content_type_Expenses - Editorial],Table13[Scope/Content Type],'INN Rollups 2021'!G85,Table13[agg_content_type_Expenses - Editorial],"&gt;0")</f>
        <v>493891.46750000009</v>
      </c>
      <c r="N92" s="134" t="s">
        <v>275</v>
      </c>
      <c r="O92" s="170">
        <f>SUMIF(Table13[Scope/Content Type],'INN Rollups 2021'!M85,Table13[agg_content_type_Expenses - Editorial])</f>
        <v>1556800</v>
      </c>
      <c r="P92" s="173">
        <f>O92/O94</f>
        <v>0.23539350633264178</v>
      </c>
      <c r="Q92" s="191">
        <f>AVERAGEIFS(Table13[agg_content_type_Expenses - Editorial],Table13[Scope/Content Type],'INN Rollups 2021'!M85,Table13[agg_content_type_Expenses - Editorial],"&gt;0")</f>
        <v>194600</v>
      </c>
      <c r="T92" s="134" t="s">
        <v>275</v>
      </c>
      <c r="U92" s="170">
        <f>SUMIF(Table13[Scope/Content Type],'INN Rollups 2021'!S85,Table13[agg_content_type_Expenses - Editorial])</f>
        <v>37013703</v>
      </c>
      <c r="V92" s="173">
        <f>U92/U94</f>
        <v>0.7535457488636258</v>
      </c>
      <c r="W92" s="191">
        <f>AVERAGEIFS(Table13[agg_content_type_Expenses - Editorial],Table13[Scope/Content Type],'INN Rollups 2021'!S85,Table13[agg_content_type_Expenses - Editorial],"&gt;0")</f>
        <v>4626712.875</v>
      </c>
    </row>
    <row r="93" spans="1:23" x14ac:dyDescent="0.2">
      <c r="B93" s="137" t="s">
        <v>276</v>
      </c>
      <c r="C93" s="181">
        <f>SUMIF(Table13[Scope/Content Type],'INN Rollups 2021'!A85,Table13[agg_content_type_Expenses - Non-Editorial])</f>
        <v>14715128.81718751</v>
      </c>
      <c r="D93" s="180">
        <f>C93/C94</f>
        <v>0.42373329478255123</v>
      </c>
      <c r="E93" s="250">
        <f>AVERAGEIFS(Table13[agg_content_type_Expenses - Non-Editorial],Table13[Scope/Content Type],'INN Rollups 2021'!A85,Table13[agg_content_type_Expenses - Non-Editorial],"&gt;0")</f>
        <v>377310.99531250028</v>
      </c>
      <c r="H93" s="137" t="s">
        <v>276</v>
      </c>
      <c r="I93" s="181">
        <f>SUMIF(Table13[Scope/Content Type],'INN Rollups 2021'!G85,Table13[agg_content_type_Expenses - Non-Editorial])</f>
        <v>7515042.4025000017</v>
      </c>
      <c r="J93" s="180">
        <f>I93/I94</f>
        <v>0.44470389785415387</v>
      </c>
      <c r="K93" s="250">
        <f>AVERAGEIFS(Table13[agg_content_type_Expenses - Non-Editorial],Table13[Scope/Content Type],'INN Rollups 2021'!G85,Table13[agg_content_type_Expenses - Non-Editorial],"&gt;0")</f>
        <v>395528.5475000001</v>
      </c>
      <c r="N93" s="137" t="s">
        <v>276</v>
      </c>
      <c r="O93" s="181">
        <f>SUMIF(Table13[Scope/Content Type],'INN Rollups 2021'!M85,Table13[agg_content_type_Expenses - Non-Editorial])</f>
        <v>5056806.3999999994</v>
      </c>
      <c r="P93" s="180">
        <f>O93/O94</f>
        <v>0.76460649366735822</v>
      </c>
      <c r="Q93" s="250">
        <f>AVERAGEIFS(Table13[agg_content_type_Expenses - Non-Editorial],Table13[Scope/Content Type],'INN Rollups 2021'!M85,Table13[agg_content_type_Expenses - Non-Editorial],"&gt;0")</f>
        <v>632100.79999999993</v>
      </c>
      <c r="T93" s="137" t="s">
        <v>276</v>
      </c>
      <c r="U93" s="181">
        <f>SUMIF(Table13[Scope/Content Type],'INN Rollups 2021'!S85,Table13[agg_content_type_Expenses - Non-Editorial])</f>
        <v>12105681</v>
      </c>
      <c r="V93" s="180">
        <f>U93/U94</f>
        <v>0.24645425113637418</v>
      </c>
      <c r="W93" s="250">
        <f>AVERAGEIFS(Table13[agg_content_type_Expenses - Non-Editorial],Table13[Scope/Content Type],'INN Rollups 2021'!S85,Table13[agg_content_type_Expenses - Non-Editorial],"&gt;0")</f>
        <v>1513210.125</v>
      </c>
    </row>
    <row r="94" spans="1:23" x14ac:dyDescent="0.2">
      <c r="B94" s="134" t="s">
        <v>277</v>
      </c>
      <c r="C94" s="170">
        <f>SUM(C92:C93)</f>
        <v>34727336.743125007</v>
      </c>
      <c r="D94" s="173">
        <f>SUM(D92:D93)</f>
        <v>1</v>
      </c>
      <c r="E94" s="191">
        <f>AVERAGEIFS(Table13[agg_content_type_TOTAL EXPENSES],Table13[Scope/Content Type],'INN Rollups 2021'!A85,Table13[agg_content_type_TOTAL EXPENSES],"&gt;0")</f>
        <v>890444.53187499964</v>
      </c>
      <c r="H94" s="134" t="s">
        <v>277</v>
      </c>
      <c r="I94" s="170">
        <f>SUM(I92:I93)</f>
        <v>16898980.285000004</v>
      </c>
      <c r="J94" s="173">
        <f>SUM(J92:J93)</f>
        <v>1</v>
      </c>
      <c r="K94" s="191">
        <f>AVERAGEIFS(Table13[agg_content_type_TOTAL EXPENSES],Table13[Scope/Content Type],'INN Rollups 2021'!G85,Table13[agg_content_type_TOTAL EXPENSES],"&gt;0")</f>
        <v>889420.01500000025</v>
      </c>
      <c r="N94" s="134" t="s">
        <v>277</v>
      </c>
      <c r="O94" s="170">
        <f>SUM(O92:O93)</f>
        <v>6613606.3999999994</v>
      </c>
      <c r="P94" s="173">
        <f>SUM(P92:P93)</f>
        <v>1</v>
      </c>
      <c r="Q94" s="191">
        <f>AVERAGEIFS(Table13[agg_content_type_TOTAL EXPENSES],Table13[Scope/Content Type],'INN Rollups 2021'!M85,Table13[agg_content_type_TOTAL EXPENSES],"&gt;0")</f>
        <v>826700.79999999993</v>
      </c>
      <c r="T94" s="134" t="s">
        <v>277</v>
      </c>
      <c r="U94" s="170">
        <f>SUM(U92:U93)</f>
        <v>49119384</v>
      </c>
      <c r="V94" s="173">
        <f>SUM(V92:V93)</f>
        <v>1</v>
      </c>
      <c r="W94" s="191">
        <f>AVERAGEIFS(Table13[agg_content_type_TOTAL EXPENSES],Table13[Scope/Content Type],'INN Rollups 2021'!S85,Table13[agg_content_type_TOTAL EXPENSES],"&gt;0")</f>
        <v>6139923</v>
      </c>
    </row>
    <row r="96" spans="1:23" x14ac:dyDescent="0.2">
      <c r="B96" s="134" t="s">
        <v>278</v>
      </c>
      <c r="C96" s="134">
        <f>SUMIF(Table13[Scope/Content Type],'INN Rollups 2021'!A85,Table13[agg_content_type_Total FTE - Editorial])</f>
        <v>234.73783783783796</v>
      </c>
      <c r="D96" s="164">
        <f>C96/C98</f>
        <v>0.64999192148728024</v>
      </c>
      <c r="E96" s="196">
        <f>AVERAGEIFS(Table13[agg_content_type_Total FTE - Editorial],Table13[Scope/Content Type],'INN Rollups 2021'!A85,Table13[agg_content_type_Total FTE - Editorial],"&gt;0")</f>
        <v>6.0189189189189216</v>
      </c>
      <c r="H96" s="134" t="s">
        <v>278</v>
      </c>
      <c r="I96" s="134">
        <f>SUMIF(Table13[Scope/Content Type],'INN Rollups 2021'!G85,Table13[agg_content_type_Total FTE - Editorial])</f>
        <v>112.78611111111115</v>
      </c>
      <c r="J96" s="164">
        <f>I96/I98</f>
        <v>0.64877321778489239</v>
      </c>
      <c r="K96" s="196">
        <f>AVERAGEIFS(Table13[agg_content_type_Total FTE - Editorial],Table13[Scope/Content Type],'INN Rollups 2021'!G85,Table13[agg_content_type_Total FTE - Editorial],"&gt;0")</f>
        <v>5.9361111111111136</v>
      </c>
      <c r="N96" s="134" t="s">
        <v>278</v>
      </c>
      <c r="O96" s="134">
        <f>SUMIF(Table13[Scope/Content Type],'INN Rollups 2021'!M85,Table13[agg_content_type_Total FTE - Editorial])</f>
        <v>50</v>
      </c>
      <c r="P96" s="164">
        <f>O96/O98</f>
        <v>0.36101083032490977</v>
      </c>
      <c r="Q96" s="196">
        <f>AVERAGEIFS(Table13[agg_content_type_Total FTE - Editorial],Table13[Scope/Content Type],'INN Rollups 2021'!M85,Table13[agg_content_type_Total FTE - Editorial],"&gt;0")</f>
        <v>6.25</v>
      </c>
      <c r="T96" s="134" t="s">
        <v>278</v>
      </c>
      <c r="U96" s="134">
        <f>SUMIF(Table13[Scope/Content Type],'INN Rollups 2021'!S85,Table13[agg_content_type_Total FTE - Editorial])</f>
        <v>238.5</v>
      </c>
      <c r="V96" s="164">
        <f>U96/U98</f>
        <v>0.72569602921040621</v>
      </c>
      <c r="W96" s="196">
        <f>AVERAGEIFS(Table13[agg_content_type_Total FTE - Editorial],Table13[Scope/Content Type],'INN Rollups 2021'!S85,Table13[agg_content_type_Total FTE - Editorial],"&gt;0")</f>
        <v>29.8125</v>
      </c>
    </row>
    <row r="97" spans="2:23" x14ac:dyDescent="0.2">
      <c r="B97" s="137" t="s">
        <v>279</v>
      </c>
      <c r="C97" s="137">
        <f>SUMIF(Table13[Scope/Content Type],'INN Rollups 2021'!A85,Table13[agg_content_type_Total FTE - Non-Editorial])</f>
        <v>126.40178571428577</v>
      </c>
      <c r="D97" s="182">
        <f>C97/C98</f>
        <v>0.3500080785127197</v>
      </c>
      <c r="E97" s="198">
        <f>AVERAGEIFS(Table13[agg_content_type_Total FTE - Non-Editorial],Table13[Scope/Content Type],'INN Rollups 2021'!A85,Table13[agg_content_type_Total FTE - Non-Editorial],"&gt;0")</f>
        <v>3.2410714285714297</v>
      </c>
      <c r="H97" s="137" t="s">
        <v>279</v>
      </c>
      <c r="I97" s="137">
        <f>SUMIF(Table13[Scope/Content Type],'INN Rollups 2021'!G85,Table13[agg_content_type_Total FTE - Non-Editorial])</f>
        <v>61.059090909090891</v>
      </c>
      <c r="J97" s="182">
        <f>I97/I98</f>
        <v>0.35122678221510761</v>
      </c>
      <c r="K97" s="198">
        <f>AVERAGEIFS(Table13[agg_content_type_Total FTE - Non-Editorial],Table13[Scope/Content Type],'INN Rollups 2021'!G85,Table13[agg_content_type_Total FTE - Non-Editorial],"&gt;0")</f>
        <v>3.2136363636363625</v>
      </c>
      <c r="N97" s="137" t="s">
        <v>279</v>
      </c>
      <c r="O97" s="137">
        <f>SUMIF(Table13[Scope/Content Type],'INN Rollups 2021'!M85,Table13[agg_content_type_Total FTE - Non-Editorial])</f>
        <v>88.5</v>
      </c>
      <c r="P97" s="182">
        <f>O97/O98</f>
        <v>0.63898916967509023</v>
      </c>
      <c r="Q97" s="198">
        <f>AVERAGEIFS(Table13[agg_content_type_Total FTE - Non-Editorial],Table13[Scope/Content Type],'INN Rollups 2021'!M85,Table13[agg_content_type_Total FTE - Non-Editorial],"&gt;0")</f>
        <v>11.0625</v>
      </c>
      <c r="T97" s="137" t="s">
        <v>279</v>
      </c>
      <c r="U97" s="137">
        <f>SUMIF(Table13[Scope/Content Type],'INN Rollups 2021'!S85,Table13[agg_content_type_Total FTE - Non-Editorial])</f>
        <v>90.149999999999991</v>
      </c>
      <c r="V97" s="182">
        <f>U97/U98</f>
        <v>0.27430397078959379</v>
      </c>
      <c r="W97" s="198">
        <f>AVERAGEIFS(Table13[agg_content_type_Total FTE - Non-Editorial],Table13[Scope/Content Type],'INN Rollups 2021'!S85,Table13[agg_content_type_Total FTE - Non-Editorial],"&gt;0")</f>
        <v>11.268749999999999</v>
      </c>
    </row>
    <row r="98" spans="2:23" x14ac:dyDescent="0.2">
      <c r="B98" s="134" t="s">
        <v>280</v>
      </c>
      <c r="C98" s="134">
        <f>SUM(C96:C97)</f>
        <v>361.13962355212374</v>
      </c>
      <c r="D98" s="186">
        <f>SUM(D96:D97)</f>
        <v>1</v>
      </c>
      <c r="E98" s="196">
        <f>AVERAGEIFS(Table13[agg_content_type_Total FTE],Table13[Scope/Content Type],'INN Rollups 2021'!A85,Table13[agg_content_type_Total FTE],"&gt;0")</f>
        <v>8.4716216216216189</v>
      </c>
      <c r="H98" s="134" t="s">
        <v>280</v>
      </c>
      <c r="I98" s="134">
        <f>SUM(I96:I97)</f>
        <v>173.84520202020204</v>
      </c>
      <c r="J98" s="186">
        <f>SUM(J96:J97)</f>
        <v>1</v>
      </c>
      <c r="K98" s="196">
        <f>AVERAGEIFS(Table13[agg_content_type_Total FTE],Table13[Scope/Content Type],'INN Rollups 2021'!G85,Table13[agg_content_type_Total FTE],"&gt;0")</f>
        <v>7.900000000000003</v>
      </c>
      <c r="N98" s="134" t="s">
        <v>280</v>
      </c>
      <c r="O98" s="134">
        <f>SUM(O96:O97)</f>
        <v>138.5</v>
      </c>
      <c r="P98" s="186">
        <f>SUM(P96:P97)</f>
        <v>1</v>
      </c>
      <c r="Q98" s="196">
        <f>AVERAGEIFS(Table13[agg_content_type_Total FTE],Table13[Scope/Content Type],'INN Rollups 2021'!M85,Table13[agg_content_type_Total FTE],"&gt;0")</f>
        <v>12.571428571428571</v>
      </c>
      <c r="T98" s="134" t="s">
        <v>280</v>
      </c>
      <c r="U98" s="134">
        <f>SUM(U96:U97)</f>
        <v>328.65</v>
      </c>
      <c r="V98" s="186">
        <f>SUM(V96:V97)</f>
        <v>1</v>
      </c>
      <c r="W98" s="196">
        <f>AVERAGEIFS(Table13[agg_content_type_Total FTE],Table13[Scope/Content Type],'INN Rollups 2021'!S85,Table13[agg_content_type_Total FTE],"&gt;0")</f>
        <v>41.081250000000004</v>
      </c>
    </row>
    <row r="101" spans="2:23" x14ac:dyDescent="0.2">
      <c r="C101" s="134">
        <f>C85+C70+C55</f>
        <v>92</v>
      </c>
      <c r="I101" s="134">
        <f>I85+I70+I55</f>
        <v>62</v>
      </c>
      <c r="O101" s="134">
        <f>O85+O70+O55</f>
        <v>30</v>
      </c>
      <c r="U101" s="134">
        <f>U85+U70+U55</f>
        <v>49</v>
      </c>
    </row>
  </sheetData>
  <pageMargins left="0.7" right="0.7" top="0.75" bottom="0.75" header="0.3" footer="0.3"/>
  <pageSetup scale="57" orientation="portrait" horizontalDpi="1200" verticalDpi="1200" r:id="rId1"/>
  <colBreaks count="1" manualBreakCount="1">
    <brk id="12"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8311C-7969-4692-922F-F73414A5BA3A}">
  <sheetPr>
    <tabColor theme="7" tint="0.39997558519241921"/>
  </sheetPr>
  <dimension ref="A1:AI113"/>
  <sheetViews>
    <sheetView view="pageBreakPreview" zoomScale="130" zoomScaleNormal="130" zoomScaleSheetLayoutView="130" workbookViewId="0"/>
  </sheetViews>
  <sheetFormatPr defaultColWidth="9.140625" defaultRowHeight="12" outlineLevelCol="1" x14ac:dyDescent="0.2"/>
  <cols>
    <col min="1" max="1" width="1.7109375" style="134" customWidth="1"/>
    <col min="2" max="2" width="4.7109375" style="134" customWidth="1"/>
    <col min="3" max="3" width="25.85546875" style="134" bestFit="1" customWidth="1"/>
    <col min="4" max="4" width="15.28515625" style="134" hidden="1" customWidth="1" outlineLevel="1"/>
    <col min="5" max="5" width="0" style="134" hidden="1" customWidth="1" outlineLevel="1"/>
    <col min="6" max="6" width="12.5703125" style="134" bestFit="1" customWidth="1" collapsed="1"/>
    <col min="7" max="8" width="9.140625" style="134"/>
    <col min="9" max="9" width="3.7109375" style="134" customWidth="1"/>
    <col min="10" max="10" width="1.7109375" style="134" customWidth="1"/>
    <col min="11" max="11" width="4.7109375" style="134" customWidth="1"/>
    <col min="12" max="12" width="25.85546875" style="134" bestFit="1" customWidth="1"/>
    <col min="13" max="13" width="12.5703125" style="134" hidden="1" customWidth="1" outlineLevel="1"/>
    <col min="14" max="14" width="0" style="134" hidden="1" customWidth="1" outlineLevel="1"/>
    <col min="15" max="15" width="11.5703125" style="134" bestFit="1" customWidth="1" collapsed="1"/>
    <col min="16" max="17" width="9.140625" style="134"/>
    <col min="18" max="18" width="3.7109375" style="134" customWidth="1"/>
    <col min="19" max="19" width="1.7109375" style="134" customWidth="1"/>
    <col min="20" max="20" width="4.7109375" style="134" customWidth="1"/>
    <col min="21" max="21" width="25.85546875" style="134" bestFit="1" customWidth="1"/>
    <col min="22" max="22" width="12.5703125" style="134" hidden="1" customWidth="1" outlineLevel="1"/>
    <col min="23" max="23" width="0" style="134" hidden="1" customWidth="1" outlineLevel="1"/>
    <col min="24" max="24" width="11.5703125" style="134" bestFit="1" customWidth="1" collapsed="1"/>
    <col min="25" max="26" width="9.140625" style="134"/>
    <col min="27" max="27" width="3.7109375" style="134" customWidth="1"/>
    <col min="28" max="28" width="1.7109375" style="134" customWidth="1"/>
    <col min="29" max="29" width="4.7109375" style="134" customWidth="1"/>
    <col min="30" max="30" width="25.85546875" style="134" bestFit="1" customWidth="1"/>
    <col min="31" max="31" width="12.5703125" style="134" hidden="1" customWidth="1" outlineLevel="1"/>
    <col min="32" max="32" width="9.140625" style="134" hidden="1" customWidth="1" outlineLevel="1"/>
    <col min="33" max="33" width="11.5703125" style="134" bestFit="1" customWidth="1" collapsed="1"/>
    <col min="34" max="16384" width="9.140625" style="134"/>
  </cols>
  <sheetData>
    <row r="1" spans="1:35" x14ac:dyDescent="0.2">
      <c r="A1" s="133" t="s">
        <v>941</v>
      </c>
      <c r="AI1" s="210"/>
    </row>
    <row r="2" spans="1:35" x14ac:dyDescent="0.2">
      <c r="A2" s="133" t="s">
        <v>2</v>
      </c>
    </row>
    <row r="3" spans="1:35" x14ac:dyDescent="0.2">
      <c r="A3" s="135" t="str">
        <f>INSTRUCTIONS!A3</f>
        <v>March 2022</v>
      </c>
    </row>
    <row r="4" spans="1:35" x14ac:dyDescent="0.2">
      <c r="A4" s="133" t="s">
        <v>281</v>
      </c>
    </row>
    <row r="6" spans="1:35" x14ac:dyDescent="0.2">
      <c r="A6" s="217" t="s">
        <v>120</v>
      </c>
      <c r="B6" s="218"/>
      <c r="C6" s="218"/>
      <c r="D6" s="218"/>
      <c r="E6" s="218"/>
      <c r="F6" s="218"/>
      <c r="G6" s="218"/>
      <c r="H6" s="218"/>
      <c r="J6" s="217" t="s">
        <v>123</v>
      </c>
      <c r="K6" s="218"/>
      <c r="L6" s="218"/>
      <c r="M6" s="218"/>
      <c r="N6" s="218"/>
      <c r="O6" s="218"/>
      <c r="P6" s="218"/>
      <c r="Q6" s="218"/>
      <c r="S6" s="217" t="s">
        <v>126</v>
      </c>
      <c r="T6" s="218"/>
      <c r="U6" s="218"/>
      <c r="V6" s="218"/>
      <c r="W6" s="218"/>
      <c r="X6" s="218"/>
      <c r="Y6" s="218"/>
      <c r="Z6" s="218"/>
      <c r="AB6" s="217" t="s">
        <v>129</v>
      </c>
      <c r="AC6" s="218"/>
      <c r="AD6" s="218"/>
      <c r="AE6" s="218"/>
      <c r="AF6" s="218"/>
      <c r="AG6" s="218"/>
      <c r="AH6" s="218"/>
      <c r="AI6" s="218"/>
    </row>
    <row r="7" spans="1:35" ht="24" x14ac:dyDescent="0.2">
      <c r="A7" s="166"/>
      <c r="B7" s="166"/>
      <c r="C7" s="166"/>
      <c r="D7" s="166" t="s">
        <v>269</v>
      </c>
      <c r="E7" s="166" t="s">
        <v>282</v>
      </c>
      <c r="F7" s="166" t="s">
        <v>283</v>
      </c>
      <c r="G7" s="166" t="s">
        <v>284</v>
      </c>
      <c r="H7" s="166" t="s">
        <v>285</v>
      </c>
      <c r="J7" s="166"/>
      <c r="K7" s="166"/>
      <c r="L7" s="166"/>
      <c r="M7" s="166" t="s">
        <v>269</v>
      </c>
      <c r="N7" s="166" t="s">
        <v>282</v>
      </c>
      <c r="O7" s="166" t="s">
        <v>283</v>
      </c>
      <c r="P7" s="166" t="s">
        <v>284</v>
      </c>
      <c r="Q7" s="166" t="s">
        <v>285</v>
      </c>
      <c r="S7" s="166"/>
      <c r="T7" s="166"/>
      <c r="U7" s="166"/>
      <c r="V7" s="166" t="s">
        <v>269</v>
      </c>
      <c r="W7" s="166" t="s">
        <v>282</v>
      </c>
      <c r="X7" s="166" t="s">
        <v>283</v>
      </c>
      <c r="Y7" s="166" t="s">
        <v>284</v>
      </c>
      <c r="Z7" s="166" t="s">
        <v>285</v>
      </c>
      <c r="AB7" s="166"/>
      <c r="AC7" s="166"/>
      <c r="AD7" s="166"/>
      <c r="AE7" s="166" t="s">
        <v>269</v>
      </c>
      <c r="AF7" s="166" t="s">
        <v>282</v>
      </c>
      <c r="AG7" s="166" t="s">
        <v>283</v>
      </c>
      <c r="AH7" s="166" t="s">
        <v>284</v>
      </c>
      <c r="AI7" s="166" t="s">
        <v>285</v>
      </c>
    </row>
    <row r="8" spans="1:35" x14ac:dyDescent="0.2">
      <c r="B8" s="134" t="s">
        <v>246</v>
      </c>
      <c r="D8" s="170"/>
      <c r="K8" s="134" t="s">
        <v>246</v>
      </c>
      <c r="M8" s="170"/>
      <c r="T8" s="134" t="s">
        <v>246</v>
      </c>
      <c r="V8" s="170"/>
      <c r="AC8" s="134" t="s">
        <v>246</v>
      </c>
      <c r="AE8" s="170"/>
    </row>
    <row r="9" spans="1:35" x14ac:dyDescent="0.2">
      <c r="C9" s="134" t="s">
        <v>134</v>
      </c>
      <c r="D9" s="170" t="e">
        <f>SUMIF(Table13[Scope/Sub-Type],'INN Income Splits'!A6,#REF!)</f>
        <v>#REF!</v>
      </c>
      <c r="E9" s="164" t="e">
        <f>D9/$D$13</f>
        <v>#REF!</v>
      </c>
      <c r="F9" s="170">
        <f>AVERAGEIFS(Table13[agg_sub_type_Cont. Income - Foundations],Table13[Scope/Sub-Type],$A$6)</f>
        <v>218884.81978260897</v>
      </c>
      <c r="G9" s="164">
        <f>F9/$F$13</f>
        <v>0.46562431666767079</v>
      </c>
      <c r="H9" s="176">
        <f>F9/$F$22</f>
        <v>0.25090218833137501</v>
      </c>
      <c r="L9" s="134" t="s">
        <v>134</v>
      </c>
      <c r="M9" s="170">
        <f>SUMIF(Table13[Scope/Sub-Type],'INN Income Splits'!J6,Table13[agg_sub_type_Cont. Income - Foundations])</f>
        <v>9757131.3087500036</v>
      </c>
      <c r="N9" s="164">
        <f>M9/$M$13</f>
        <v>0.29371838051708582</v>
      </c>
      <c r="O9" s="170">
        <f>AVERAGEIFS(Table13[agg_sub_type_Cont. Income - Foundations],Table13[Scope/Sub-Type],J6,Table13[agg_sub_type_Cont. Income - Foundations],"&gt;0")</f>
        <v>336452.80375000014</v>
      </c>
      <c r="P9" s="164">
        <f>O9/$O$13</f>
        <v>0.29371838051708588</v>
      </c>
      <c r="Q9" s="176">
        <f>O9/$O$22</f>
        <v>9.4042822655457062E-2</v>
      </c>
      <c r="U9" s="134" t="s">
        <v>134</v>
      </c>
      <c r="V9" s="170">
        <f>SUMIF(Table13[Scope/Sub-Type],'INN Income Splits'!S6,Table13[agg_sub_type_Cont. Income - Foundations])</f>
        <v>1703600.25</v>
      </c>
      <c r="W9" s="176">
        <f>V9/$V$13</f>
        <v>5.3624971824731853E-2</v>
      </c>
      <c r="X9" s="170">
        <f>AVERAGEIFS(Table13[agg_sub_type_Cont. Income - Foundations],Table13[Scope/Sub-Type],$S$6,Table13[agg_sub_type_Cont. Income - Foundations],"&gt;0")</f>
        <v>154872.75</v>
      </c>
      <c r="Y9" s="176">
        <f>X9/$X$13</f>
        <v>5.3624971824731853E-2</v>
      </c>
      <c r="Z9" s="176">
        <f>X9/$X$22</f>
        <v>3.2358815149522942E-2</v>
      </c>
      <c r="AD9" s="134" t="s">
        <v>134</v>
      </c>
      <c r="AE9" s="170">
        <f>SUMIF(Table13[Scope/Sub-Type],'INN Income Splits'!AB6,Table13[agg_sub_type_Cont. Income - Foundations])</f>
        <v>21193030.430000003</v>
      </c>
      <c r="AF9" s="176">
        <f>AE9/$AE$13</f>
        <v>0.3129032577576556</v>
      </c>
      <c r="AG9" s="170">
        <f>AVERAGEIFS(Table13[agg_sub_type_Cont. Income - Foundations],Table13[Scope/Sub-Type],$AB$6,Table13[agg_sub_type_Cont. Income - Foundations],"&gt;0")</f>
        <v>2649128.8037500004</v>
      </c>
      <c r="AH9" s="176">
        <f>AG9/$AG$13</f>
        <v>0.3129032577576556</v>
      </c>
      <c r="AI9" s="176">
        <f>AG9/$AG$22</f>
        <v>0.29874406497949918</v>
      </c>
    </row>
    <row r="10" spans="1:35" x14ac:dyDescent="0.2">
      <c r="C10" s="134" t="s">
        <v>135</v>
      </c>
      <c r="D10" s="170" t="e">
        <f>SUMIF(Table13[Scope/Sub-Type],'INN Income Splits'!A6,#REF!)</f>
        <v>#REF!</v>
      </c>
      <c r="E10" s="164" t="e">
        <f t="shared" ref="E10:E12" si="0">D10/$D$13</f>
        <v>#REF!</v>
      </c>
      <c r="F10" s="170">
        <f>AVERAGEIFS(Table13[agg_sub_type_Cont. Income - Membership],Table13[Scope/Sub-Type],$A$6)</f>
        <v>102236.50937500008</v>
      </c>
      <c r="G10" s="164">
        <f t="shared" ref="G10:G12" si="1">F10/$F$13</f>
        <v>0.21748335432078506</v>
      </c>
      <c r="H10" s="176">
        <f t="shared" ref="H10:H12" si="2">F10/$F$22</f>
        <v>0.11719115083003454</v>
      </c>
      <c r="L10" s="134" t="s">
        <v>135</v>
      </c>
      <c r="M10" s="170">
        <f>SUMIF(Table13[Scope/Sub-Type],'INN Income Splits'!J6,Table13[agg_sub_type_Cont. Income - Membership])</f>
        <v>11858859.915999999</v>
      </c>
      <c r="N10" s="164">
        <f t="shared" ref="N10:N12" si="3">M10/$M$13</f>
        <v>0.35698659975836033</v>
      </c>
      <c r="O10" s="170">
        <f>AVERAGEIFS(Table13[agg_sub_type_Cont. Income - Membership],Table13[Scope/Sub-Type],$J$6,Table13[agg_sub_type_Cont. Income - Membership],"&gt;0")</f>
        <v>408926.20399999997</v>
      </c>
      <c r="P10" s="164">
        <f t="shared" ref="P10:P12" si="4">O10/$O$13</f>
        <v>0.35698659975836033</v>
      </c>
      <c r="Q10" s="176">
        <f t="shared" ref="Q10:Q12" si="5">O10/$O$22</f>
        <v>0.11430005651109465</v>
      </c>
      <c r="U10" s="134" t="s">
        <v>135</v>
      </c>
      <c r="V10" s="170">
        <f>SUMIF(Table13[Scope/Sub-Type],'INN Income Splits'!S6,Table13[agg_sub_type_Cont. Income - Membership])</f>
        <v>206360</v>
      </c>
      <c r="W10" s="176">
        <f t="shared" ref="W10:W12" si="6">V10/$V$13</f>
        <v>6.4956841757634548E-3</v>
      </c>
      <c r="X10" s="170">
        <f>AVERAGEIFS(Table13[agg_sub_type_Cont. Income - Membership],Table13[Scope/Sub-Type],$S$6,Table13[agg_sub_type_Cont. Income - Membership],"&gt;0")</f>
        <v>18760</v>
      </c>
      <c r="Y10" s="176">
        <f t="shared" ref="Y10:Y12" si="7">X10/$X$13</f>
        <v>6.4956841757634548E-3</v>
      </c>
      <c r="Z10" s="176">
        <f t="shared" ref="Z10:Z12" si="8">X10/$X$22</f>
        <v>3.919678395360387E-3</v>
      </c>
      <c r="AD10" s="134" t="s">
        <v>135</v>
      </c>
      <c r="AE10" s="170">
        <f>SUMIF(Table13[Scope/Sub-Type],'INN Income Splits'!AB6,Table13[agg_sub_type_Cont. Income - Membership])</f>
        <v>15417007.359999999</v>
      </c>
      <c r="AF10" s="176">
        <f t="shared" ref="AF10:AF12" si="9">AE10/$AE$13</f>
        <v>0.22762350310171062</v>
      </c>
      <c r="AG10" s="170">
        <f>AVERAGEIFS(Table13[agg_sub_type_Cont. Income - Membership],Table13[Scope/Sub-Type],$AB$6,Table13[agg_sub_type_Cont. Income - Membership],"&gt;0")</f>
        <v>1927125.92</v>
      </c>
      <c r="AH10" s="176">
        <f t="shared" ref="AH10:AH12" si="10">AG10/$AG$13</f>
        <v>0.22762350310171062</v>
      </c>
      <c r="AI10" s="176">
        <f t="shared" ref="AI10:AI12" si="11">AG10/$AG$22</f>
        <v>0.21732330653503698</v>
      </c>
    </row>
    <row r="11" spans="1:35" x14ac:dyDescent="0.2">
      <c r="C11" s="134" t="s">
        <v>247</v>
      </c>
      <c r="D11" s="170">
        <f>SUMIF(Table13[Scope/Sub-Type],'INN Income Splits'!A6,Table13[agg_sub_type_Total Individual Donations])</f>
        <v>6477114.8571428666</v>
      </c>
      <c r="E11" s="164" t="e">
        <f t="shared" si="0"/>
        <v>#REF!</v>
      </c>
      <c r="F11" s="170">
        <f>AVERAGEIFS(Table13[agg_sub_type_Total Individual Donations],Table13[Scope/Sub-Type],$A$6)</f>
        <v>107951.91428571445</v>
      </c>
      <c r="G11" s="164">
        <f t="shared" si="1"/>
        <v>0.22964149077206339</v>
      </c>
      <c r="H11" s="176">
        <f t="shared" si="2"/>
        <v>0.12374257637303174</v>
      </c>
      <c r="L11" s="134" t="s">
        <v>247</v>
      </c>
      <c r="M11" s="170">
        <f>SUMIF(Table13[Scope/Sub-Type],'INN Income Splits'!J6,Table13[agg_sub_type_Total Individual Donations])</f>
        <v>10150220.864000006</v>
      </c>
      <c r="N11" s="164">
        <f t="shared" si="3"/>
        <v>0.3055515335118264</v>
      </c>
      <c r="O11" s="170">
        <f>AVERAGEIFS(Table13[agg_sub_type_Total Individual Donations],Table13[Scope/Sub-Type],$J$6,Table13[agg_sub_type_Total Individual Donations],"&gt;0")</f>
        <v>350007.61600000021</v>
      </c>
      <c r="P11" s="164">
        <f t="shared" si="4"/>
        <v>0.30555153351182646</v>
      </c>
      <c r="Q11" s="176">
        <f t="shared" si="5"/>
        <v>9.7831564465146237E-2</v>
      </c>
      <c r="U11" s="134" t="s">
        <v>247</v>
      </c>
      <c r="V11" s="170">
        <f>SUMIF(Table13[Scope/Sub-Type],'INN Income Splits'!S6,Table13[agg_sub_type_Total Individual Donations])</f>
        <v>26801452.672499992</v>
      </c>
      <c r="W11" s="176">
        <f t="shared" si="6"/>
        <v>0.84364107391079346</v>
      </c>
      <c r="X11" s="170">
        <f>AVERAGEIFS(Table13[agg_sub_type_Total Individual Donations],Table13[Scope/Sub-Type],$S$6,Table13[agg_sub_type_Total Individual Donations],"&gt;0")</f>
        <v>2436495.6974999993</v>
      </c>
      <c r="Y11" s="176">
        <f t="shared" si="7"/>
        <v>0.84364107391079346</v>
      </c>
      <c r="Z11" s="176">
        <f t="shared" si="8"/>
        <v>0.50907673485497251</v>
      </c>
      <c r="AD11" s="134" t="s">
        <v>247</v>
      </c>
      <c r="AE11" s="170">
        <f>SUMIF(Table13[Scope/Sub-Type],'INN Income Splits'!AB6,Table13[agg_sub_type_Total Individual Donations])</f>
        <v>26897233.129999999</v>
      </c>
      <c r="AF11" s="176">
        <f t="shared" si="9"/>
        <v>0.39712262476301941</v>
      </c>
      <c r="AG11" s="170">
        <f>AVERAGEIFS(Table13[agg_sub_type_Total Individual Donations],Table13[Scope/Sub-Type],$AB$6,Table13[agg_sub_type_Total Individual Donations],"&gt;0")</f>
        <v>3362154.1412499999</v>
      </c>
      <c r="AH11" s="176">
        <f t="shared" si="10"/>
        <v>0.39712262476301941</v>
      </c>
      <c r="AI11" s="176">
        <f t="shared" si="11"/>
        <v>0.3791524194002423</v>
      </c>
    </row>
    <row r="12" spans="1:35" x14ac:dyDescent="0.2">
      <c r="B12" s="137"/>
      <c r="C12" s="137" t="s">
        <v>248</v>
      </c>
      <c r="D12" s="181" t="e">
        <f>SUMIF(Table13[Scope/Sub-Type],'INN Income Splits'!A6,#REF!)</f>
        <v>#REF!</v>
      </c>
      <c r="E12" s="182" t="e">
        <f t="shared" si="0"/>
        <v>#REF!</v>
      </c>
      <c r="F12" s="181">
        <f>AVERAGEIFS(Table13[agg_sub_type_Cont. Income - Other],Table13[Scope/Sub-Type],$A$6)</f>
        <v>41015.649999999951</v>
      </c>
      <c r="G12" s="182">
        <f t="shared" si="1"/>
        <v>8.7250838239480821E-2</v>
      </c>
      <c r="H12" s="182">
        <f t="shared" si="2"/>
        <v>4.7015212617551247E-2</v>
      </c>
      <c r="K12" s="137"/>
      <c r="L12" s="137" t="s">
        <v>248</v>
      </c>
      <c r="M12" s="181">
        <f>SUMIF(Table13[Scope/Sub-Type],'INN Income Splits'!J6,Table13[agg_sub_type_Cont. Income - Other])</f>
        <v>1453129.8250000007</v>
      </c>
      <c r="N12" s="182">
        <f t="shared" si="3"/>
        <v>4.3743486212727389E-2</v>
      </c>
      <c r="O12" s="181">
        <f>AVERAGEIFS(Table13[agg_sub_type_Cont. Income - Other],Table13[Scope/Sub-Type],$J$6,Table13[agg_sub_type_Cont. Income - Other],"&gt;0")</f>
        <v>50107.925000000025</v>
      </c>
      <c r="P12" s="182">
        <f t="shared" si="4"/>
        <v>4.3743486212727389E-2</v>
      </c>
      <c r="Q12" s="182">
        <f t="shared" si="5"/>
        <v>1.4005800076225233E-2</v>
      </c>
      <c r="T12" s="137"/>
      <c r="U12" s="137" t="s">
        <v>248</v>
      </c>
      <c r="V12" s="181">
        <f>SUMIF(Table13[Scope/Sub-Type],'INN Income Splits'!S6,Table13[agg_sub_type_Cont. Income - Other])</f>
        <v>3057373</v>
      </c>
      <c r="W12" s="182">
        <f t="shared" si="6"/>
        <v>9.6238270088711192E-2</v>
      </c>
      <c r="X12" s="181">
        <f>AVERAGEIFS(Table13[agg_sub_type_Cont. Income - Other],Table13[Scope/Sub-Type],$S$6,Table13[agg_sub_type_Cont. Income - Other],"&gt;0")</f>
        <v>277943</v>
      </c>
      <c r="Y12" s="182">
        <f t="shared" si="7"/>
        <v>9.6238270088711192E-2</v>
      </c>
      <c r="Z12" s="182">
        <f t="shared" si="8"/>
        <v>5.807287698516269E-2</v>
      </c>
      <c r="AC12" s="137"/>
      <c r="AD12" s="137" t="s">
        <v>248</v>
      </c>
      <c r="AE12" s="181">
        <f>SUMIF(Table13[Scope/Sub-Type],'INN Income Splits'!AB6,Table13[agg_sub_type_Cont. Income - Other])</f>
        <v>4223025.6000000006</v>
      </c>
      <c r="AF12" s="182">
        <f t="shared" si="9"/>
        <v>6.2350614377614431E-2</v>
      </c>
      <c r="AG12" s="181">
        <f>AVERAGEIFS(Table13[agg_sub_type_Cont. Income - Other],Table13[Scope/Sub-Type],$AB$6,Table13[agg_sub_type_Cont. Income - Other],"&gt;0")</f>
        <v>527878.20000000007</v>
      </c>
      <c r="AH12" s="182">
        <f t="shared" si="10"/>
        <v>6.2350614377614431E-2</v>
      </c>
      <c r="AI12" s="182">
        <f t="shared" si="11"/>
        <v>5.9529185239625429E-2</v>
      </c>
    </row>
    <row r="13" spans="1:35" x14ac:dyDescent="0.2">
      <c r="C13" s="134" t="s">
        <v>60</v>
      </c>
      <c r="D13" s="170" t="e">
        <f>SUM(D9:D12)</f>
        <v>#REF!</v>
      </c>
      <c r="E13" s="186" t="e">
        <f>SUM(E9:E12)</f>
        <v>#REF!</v>
      </c>
      <c r="F13" s="191">
        <f>SUM(F9:F12)</f>
        <v>470088.89344332344</v>
      </c>
      <c r="G13" s="186">
        <f>SUM(G9:G12)</f>
        <v>1</v>
      </c>
      <c r="H13" s="186">
        <f>SUM(H9:H12)</f>
        <v>0.53885112815199254</v>
      </c>
      <c r="L13" s="134" t="s">
        <v>60</v>
      </c>
      <c r="M13" s="170">
        <f>SUM(M9:M12)</f>
        <v>33219341.913750011</v>
      </c>
      <c r="N13" s="186">
        <f>SUM(N9:N12)</f>
        <v>0.99999999999999989</v>
      </c>
      <c r="O13" s="191">
        <f>SUM(O9:O12)</f>
        <v>1145494.5487500003</v>
      </c>
      <c r="P13" s="186">
        <f>SUM(P9:P12)</f>
        <v>1</v>
      </c>
      <c r="Q13" s="186">
        <f>SUM(Q9:Q12)</f>
        <v>0.3201802437079232</v>
      </c>
      <c r="U13" s="134" t="s">
        <v>60</v>
      </c>
      <c r="V13" s="170">
        <f>SUM(V9:V12)</f>
        <v>31768785.922499992</v>
      </c>
      <c r="W13" s="186">
        <f>SUM(W9:W12)</f>
        <v>1</v>
      </c>
      <c r="X13" s="191">
        <f>SUM(X9:X12)</f>
        <v>2888071.4474999993</v>
      </c>
      <c r="Y13" s="186">
        <f>SUM(Y9:Y12)</f>
        <v>1</v>
      </c>
      <c r="Z13" s="186">
        <f>SUM(Z9:Z12)</f>
        <v>0.60342810538501856</v>
      </c>
      <c r="AD13" s="134" t="s">
        <v>60</v>
      </c>
      <c r="AE13" s="170">
        <f>SUM(AE9:AE12)</f>
        <v>67730296.519999996</v>
      </c>
      <c r="AF13" s="186">
        <f>SUM(AF9:AF12)</f>
        <v>1</v>
      </c>
      <c r="AG13" s="191">
        <f>SUM(AG9:AG12)</f>
        <v>8466287.0649999995</v>
      </c>
      <c r="AH13" s="186">
        <f>SUM(AH9:AH12)</f>
        <v>1</v>
      </c>
      <c r="AI13" s="186">
        <f>SUM(AI9:AI12)</f>
        <v>0.95474897615440402</v>
      </c>
    </row>
    <row r="14" spans="1:35" x14ac:dyDescent="0.2">
      <c r="B14" s="134" t="s">
        <v>250</v>
      </c>
      <c r="K14" s="134" t="s">
        <v>250</v>
      </c>
      <c r="T14" s="134" t="s">
        <v>250</v>
      </c>
      <c r="AC14" s="134" t="s">
        <v>250</v>
      </c>
    </row>
    <row r="15" spans="1:35" x14ac:dyDescent="0.2">
      <c r="C15" s="134" t="s">
        <v>137</v>
      </c>
      <c r="D15" s="170" t="e">
        <f>SUMIF(Table13[Scope/Sub-Type],'INN Income Splits'!$A$6,#REF!)</f>
        <v>#REF!</v>
      </c>
      <c r="E15" s="164" t="e">
        <f>D15/$D$21</f>
        <v>#REF!</v>
      </c>
      <c r="F15" s="170">
        <f>AVERAGEIFS(Table13[agg_sub_type_Earned Income - Advertising],Table13[Scope/Sub-Type],$A$6)</f>
        <v>173323.45733333362</v>
      </c>
      <c r="G15" s="164">
        <f>F15/$F$21</f>
        <v>0.43082906948389926</v>
      </c>
      <c r="H15" s="176">
        <f>F15/$F$22</f>
        <v>0.19867633935182696</v>
      </c>
      <c r="L15" s="134" t="s">
        <v>137</v>
      </c>
      <c r="M15" s="170">
        <f>SUMIF(Table13[Scope/Sub-Type],'INN Income Splits'!$J$6,Table13[agg_sub_type_Earned Income - Advertising])</f>
        <v>21560966.400000002</v>
      </c>
      <c r="N15" s="176">
        <f>M15/$M$21</f>
        <v>0.30568768814141251</v>
      </c>
      <c r="O15" s="170">
        <f>AVERAGEIFS(Table13[agg_sub_type_Earned Income - Advertising],Table13[Scope/Sub-Type],$J$6,Table13[agg_sub_type_Earned Income - Advertising],"&gt;0")</f>
        <v>743481.60000000009</v>
      </c>
      <c r="P15" s="164">
        <f>O15/$O$21</f>
        <v>0.30568768814141245</v>
      </c>
      <c r="Q15" s="176">
        <f>O15/$O$22</f>
        <v>0.20781252965378341</v>
      </c>
      <c r="U15" s="134" t="s">
        <v>137</v>
      </c>
      <c r="V15" s="170">
        <f>SUMIF(Table13[Scope/Sub-Type],'INN Income Splits'!$S$6,Table13[agg_sub_type_Earned Income - Advertising])</f>
        <v>1192224</v>
      </c>
      <c r="W15" s="176">
        <f>V15/$V$21</f>
        <v>5.7103252283742849E-2</v>
      </c>
      <c r="X15" s="170">
        <f>AVERAGEIFS(Table13[agg_sub_type_Earned Income - Advertising],Table13[Scope/Sub-Type],$S$6,Table13[agg_sub_type_Earned Income - Advertising],"&gt;0")</f>
        <v>108384</v>
      </c>
      <c r="Y15" s="164">
        <f>X15/$X$21</f>
        <v>5.7103252283742849E-2</v>
      </c>
      <c r="Z15" s="176">
        <f t="shared" ref="Z15:Z20" si="12">X15/$X$22</f>
        <v>2.2645544946841161E-2</v>
      </c>
      <c r="AD15" s="134" t="s">
        <v>137</v>
      </c>
      <c r="AE15" s="170">
        <f>SUMIF(Table13[Scope/Sub-Type],'INN Income Splits'!$AB$6,Table13[agg_sub_type_Earned Income - Advertising])</f>
        <v>901964.51999999979</v>
      </c>
      <c r="AF15" s="176">
        <f>AE15/$AE$21</f>
        <v>0.28097473400313333</v>
      </c>
      <c r="AG15" s="170">
        <f>AVERAGEIFS(Table13[agg_sub_type_Earned Income - Advertising],Table13[Scope/Sub-Type],$AB$6,Table13[agg_sub_type_Earned Income - Advertising],"&gt;0")</f>
        <v>112745.56499999997</v>
      </c>
      <c r="AH15" s="176">
        <f>AG15/$AG$21</f>
        <v>0.28097473400313333</v>
      </c>
      <c r="AI15" s="176">
        <f t="shared" ref="AI15:AI20" si="13">AG15/$AG$22</f>
        <v>1.2714394388385857E-2</v>
      </c>
    </row>
    <row r="16" spans="1:35" x14ac:dyDescent="0.2">
      <c r="C16" s="134" t="s">
        <v>138</v>
      </c>
      <c r="D16" s="170" t="e">
        <f>SUMIF(Table13[Scope/Sub-Type],'INN Income Splits'!$A$6,#REF!)</f>
        <v>#REF!</v>
      </c>
      <c r="E16" s="164" t="e">
        <f t="shared" ref="E16:E20" si="14">D16/$D$21</f>
        <v>#REF!</v>
      </c>
      <c r="F16" s="170">
        <f>AVERAGEIFS(Table13[agg_sub_type_Earned Income - Sponsorships/Underwriting],Table13[Scope/Sub-Type],$A$6)</f>
        <v>47006.517857142855</v>
      </c>
      <c r="G16" s="164">
        <f t="shared" ref="G16:G20" si="15">F16/$F$21</f>
        <v>0.11684381710158931</v>
      </c>
      <c r="H16" s="176">
        <f t="shared" ref="H16:H20" si="16">F16/$F$22</f>
        <v>5.3882394438812833E-2</v>
      </c>
      <c r="L16" s="134" t="s">
        <v>138</v>
      </c>
      <c r="M16" s="170">
        <f>SUMIF(Table13[Scope/Sub-Type],'INN Income Splits'!$J$6,Table13[agg_sub_type_Earned Income - Sponsorships/Underwriting])</f>
        <v>8407408.5599999968</v>
      </c>
      <c r="N16" s="176">
        <f t="shared" ref="N16:N20" si="17">M16/$M$21</f>
        <v>0.11919879834174411</v>
      </c>
      <c r="O16" s="170">
        <f>AVERAGEIFS(Table13[agg_sub_type_Earned Income - Sponsorships/Underwriting],Table13[Scope/Sub-Type],$J$6,Table13[agg_sub_type_Earned Income - Sponsorships/Underwriting],"&gt;0")</f>
        <v>289910.6399999999</v>
      </c>
      <c r="P16" s="164">
        <f t="shared" ref="P16:P20" si="18">O16/$O$21</f>
        <v>0.1191987983417441</v>
      </c>
      <c r="Q16" s="176">
        <f t="shared" ref="Q16:Q20" si="19">O16/$O$22</f>
        <v>8.1033698038992893E-2</v>
      </c>
      <c r="U16" s="134" t="s">
        <v>138</v>
      </c>
      <c r="V16" s="170">
        <f>SUMIF(Table13[Scope/Sub-Type],'INN Income Splits'!$S$6,Table13[agg_sub_type_Earned Income - Sponsorships/Underwriting])</f>
        <v>7116736</v>
      </c>
      <c r="W16" s="176">
        <f t="shared" ref="W16:W20" si="20">V16/$V$21</f>
        <v>0.34086612184018689</v>
      </c>
      <c r="X16" s="170">
        <f>AVERAGEIFS(Table13[agg_sub_type_Earned Income - Sponsorships/Underwriting],Table13[Scope/Sub-Type],$S$6,Table13[agg_sub_type_Earned Income - Sponsorships/Underwriting],"&gt;0")</f>
        <v>646976</v>
      </c>
      <c r="Y16" s="164">
        <f t="shared" ref="Y16:Y20" si="21">X16/$X$21</f>
        <v>0.34086612184018689</v>
      </c>
      <c r="Z16" s="176">
        <f t="shared" si="12"/>
        <v>0.13517792374822399</v>
      </c>
      <c r="AD16" s="134" t="s">
        <v>138</v>
      </c>
      <c r="AE16" s="170">
        <f>SUMIF(Table13[Scope/Sub-Type],'INN Income Splits'!$AB$6,Table13[agg_sub_type_Earned Income - Sponsorships/Underwriting])</f>
        <v>434000</v>
      </c>
      <c r="AF16" s="176">
        <f t="shared" ref="AF16:AF20" si="22">AE16/$AE$21</f>
        <v>0.13519715227530224</v>
      </c>
      <c r="AG16" s="170">
        <f>AVERAGEIFS(Table13[agg_sub_type_Earned Income - Sponsorships/Underwriting],Table13[Scope/Sub-Type],$AB$6,Table13[agg_sub_type_Earned Income - Sponsorships/Underwriting],"&gt;0")</f>
        <v>54250</v>
      </c>
      <c r="AH16" s="176">
        <f t="shared" ref="AH16:AH20" si="23">AG16/$AG$21</f>
        <v>0.13519715227530224</v>
      </c>
      <c r="AI16" s="176">
        <f t="shared" si="13"/>
        <v>6.1178095614664125E-3</v>
      </c>
    </row>
    <row r="17" spans="1:35" x14ac:dyDescent="0.2">
      <c r="C17" s="134" t="s">
        <v>139</v>
      </c>
      <c r="D17" s="170" t="e">
        <f>SUMIF(Table13[Scope/Sub-Type],'INN Income Splits'!$A$6,#REF!)</f>
        <v>#REF!</v>
      </c>
      <c r="E17" s="164" t="e">
        <f t="shared" si="14"/>
        <v>#REF!</v>
      </c>
      <c r="F17" s="170">
        <f>AVERAGEIFS(Table13[agg_sub_type_Earned Income - Subscriptions],Table13[Scope/Sub-Type],$A$6)</f>
        <v>121145.11111111102</v>
      </c>
      <c r="G17" s="164">
        <f t="shared" si="15"/>
        <v>0.30112966989890416</v>
      </c>
      <c r="H17" s="176">
        <f t="shared" si="16"/>
        <v>0.13886560755384253</v>
      </c>
      <c r="L17" s="134" t="s">
        <v>139</v>
      </c>
      <c r="M17" s="170">
        <f>SUMIF(Table13[Scope/Sub-Type],'INN Income Splits'!$J$6,Table13[agg_sub_type_Earned Income - Subscriptions])</f>
        <v>17473776</v>
      </c>
      <c r="N17" s="176">
        <f t="shared" si="17"/>
        <v>0.24774020280189749</v>
      </c>
      <c r="O17" s="170">
        <f>AVERAGEIFS(Table13[agg_sub_type_Earned Income - Subscriptions],Table13[Scope/Sub-Type],$J$6,Table13[agg_sub_type_Earned Income - Subscriptions],"&gt;0")</f>
        <v>602544</v>
      </c>
      <c r="P17" s="164">
        <f t="shared" si="18"/>
        <v>0.24774020280189743</v>
      </c>
      <c r="Q17" s="176">
        <f t="shared" si="19"/>
        <v>0.16841868429253562</v>
      </c>
      <c r="U17" s="134" t="s">
        <v>139</v>
      </c>
      <c r="V17" s="170">
        <f>SUMIF(Table13[Scope/Sub-Type],'INN Income Splits'!$S$6,Table13[agg_sub_type_Earned Income - Subscriptions])</f>
        <v>10062921</v>
      </c>
      <c r="W17" s="176">
        <f t="shared" si="20"/>
        <v>0.48197781337598794</v>
      </c>
      <c r="X17" s="170">
        <f>AVERAGEIFS(Table13[agg_sub_type_Earned Income - Subscriptions],Table13[Scope/Sub-Type],$S$6,Table13[agg_sub_type_Earned Income - Subscriptions],"&gt;0")</f>
        <v>914811</v>
      </c>
      <c r="Y17" s="164">
        <f t="shared" si="21"/>
        <v>0.48197781337598794</v>
      </c>
      <c r="Z17" s="176">
        <f t="shared" si="12"/>
        <v>0.19113885461290145</v>
      </c>
      <c r="AD17" s="134" t="s">
        <v>139</v>
      </c>
      <c r="AE17" s="170">
        <f>SUMIF(Table13[Scope/Sub-Type],'INN Income Splits'!$AB$6,Table13[agg_sub_type_Earned Income - Subscriptions])</f>
        <v>200000</v>
      </c>
      <c r="AF17" s="176">
        <f t="shared" si="22"/>
        <v>6.2302835149908864E-2</v>
      </c>
      <c r="AG17" s="170">
        <f>AVERAGEIFS(Table13[agg_sub_type_Earned Income - Subscriptions],Table13[Scope/Sub-Type],$AB$6,Table13[agg_sub_type_Earned Income - Subscriptions],"&gt;0")</f>
        <v>25000</v>
      </c>
      <c r="AH17" s="176">
        <f t="shared" si="23"/>
        <v>6.2302835149908864E-2</v>
      </c>
      <c r="AI17" s="176">
        <f t="shared" si="13"/>
        <v>2.81926707901678E-3</v>
      </c>
    </row>
    <row r="18" spans="1:35" x14ac:dyDescent="0.2">
      <c r="C18" s="134" t="s">
        <v>140</v>
      </c>
      <c r="D18" s="170" t="e">
        <f>SUMIF(Table13[Scope/Sub-Type],'INN Income Splits'!$A$6,#REF!)</f>
        <v>#REF!</v>
      </c>
      <c r="E18" s="164" t="e">
        <f t="shared" si="14"/>
        <v>#REF!</v>
      </c>
      <c r="F18" s="170">
        <f>AVERAGEIFS(Table13[agg_sub_type_Earned Income - Events],Table13[Scope/Sub-Type],$A$6)</f>
        <v>38085.548461538478</v>
      </c>
      <c r="G18" s="164">
        <f t="shared" si="15"/>
        <v>9.4669017436642799E-2</v>
      </c>
      <c r="H18" s="176">
        <f t="shared" si="16"/>
        <v>4.3656510589867172E-2</v>
      </c>
      <c r="L18" s="134" t="s">
        <v>140</v>
      </c>
      <c r="M18" s="170">
        <f>SUMIF(Table13[Scope/Sub-Type],'INN Income Splits'!$J$6,Table13[agg_sub_type_Earned Income - Events])</f>
        <v>2502569.3839999996</v>
      </c>
      <c r="N18" s="176">
        <f t="shared" si="17"/>
        <v>3.5481000026438454E-2</v>
      </c>
      <c r="O18" s="170">
        <f>AVERAGEIFS(Table13[agg_sub_type_Earned Income - Events],Table13[Scope/Sub-Type],$J$6,Table13[agg_sub_type_Earned Income - Events],"&gt;0")</f>
        <v>86295.495999999985</v>
      </c>
      <c r="P18" s="164">
        <f t="shared" si="18"/>
        <v>3.548100002643844E-2</v>
      </c>
      <c r="Q18" s="176">
        <f t="shared" si="19"/>
        <v>2.4120684790972555E-2</v>
      </c>
      <c r="U18" s="134" t="s">
        <v>140</v>
      </c>
      <c r="V18" s="170">
        <f>SUMIF(Table13[Scope/Sub-Type],'INN Income Splits'!$S$6,Table13[agg_sub_type_Earned Income - Events])</f>
        <v>885318.5</v>
      </c>
      <c r="W18" s="176">
        <f t="shared" si="20"/>
        <v>4.2403579911966874E-2</v>
      </c>
      <c r="X18" s="170">
        <f>AVERAGEIFS(Table13[agg_sub_type_Earned Income - Events],Table13[Scope/Sub-Type],$S$6,Table13[agg_sub_type_Earned Income - Events],"&gt;0")</f>
        <v>80483.5</v>
      </c>
      <c r="Y18" s="164">
        <f t="shared" si="21"/>
        <v>4.2403579911966874E-2</v>
      </c>
      <c r="Z18" s="176">
        <f t="shared" si="12"/>
        <v>1.6816068024146466E-2</v>
      </c>
      <c r="AD18" s="134" t="s">
        <v>140</v>
      </c>
      <c r="AE18" s="170">
        <f>SUMIF(Table13[Scope/Sub-Type],'INN Income Splits'!$AB$6,Table13[agg_sub_type_Earned Income - Events])</f>
        <v>124032</v>
      </c>
      <c r="AF18" s="176">
        <f t="shared" si="22"/>
        <v>3.8637726246567486E-2</v>
      </c>
      <c r="AG18" s="170">
        <f>AVERAGEIFS(Table13[agg_sub_type_Earned Income - Events],Table13[Scope/Sub-Type],$AB$6,Table13[agg_sub_type_Earned Income - Events],"&gt;0")</f>
        <v>15504</v>
      </c>
      <c r="AH18" s="176">
        <f t="shared" si="23"/>
        <v>3.8637726246567486E-2</v>
      </c>
      <c r="AI18" s="176">
        <f t="shared" si="13"/>
        <v>1.7483966717230463E-3</v>
      </c>
    </row>
    <row r="19" spans="1:35" x14ac:dyDescent="0.2">
      <c r="C19" s="134" t="s">
        <v>251</v>
      </c>
      <c r="D19" s="170" t="e">
        <f>SUMIF(Table13[Scope/Sub-Type],'INN Income Splits'!$A$6,#REF!)</f>
        <v>#REF!</v>
      </c>
      <c r="E19" s="164" t="e">
        <f t="shared" si="14"/>
        <v>#REF!</v>
      </c>
      <c r="F19" s="170">
        <f>AVERAGEIFS(Table13[agg_sub_type_Earned Income - Syndication],Table13[Scope/Sub-Type],$A$6)</f>
        <v>220.73999999999984</v>
      </c>
      <c r="G19" s="164">
        <f t="shared" si="15"/>
        <v>5.4869208277433755E-4</v>
      </c>
      <c r="H19" s="176">
        <f t="shared" si="16"/>
        <v>2.5302873496331929E-4</v>
      </c>
      <c r="L19" s="134" t="s">
        <v>251</v>
      </c>
      <c r="M19" s="170">
        <f>SUMIF(Table13[Scope/Sub-Type],'INN Income Splits'!$J$6,Table13[agg_sub_type_Earned Income - Syndication])</f>
        <v>2728675.9542857143</v>
      </c>
      <c r="N19" s="176">
        <f t="shared" si="17"/>
        <v>3.8686700247010382E-2</v>
      </c>
      <c r="O19" s="170">
        <f>AVERAGEIFS(Table13[agg_sub_type_Earned Income - Syndication],Table13[Scope/Sub-Type],$J$6,Table13[agg_sub_type_Earned Income - Syndication],"&gt;0")</f>
        <v>94092.274285714288</v>
      </c>
      <c r="P19" s="164">
        <f t="shared" si="18"/>
        <v>3.8686700247010368E-2</v>
      </c>
      <c r="Q19" s="176">
        <f t="shared" si="19"/>
        <v>2.6299983133667222E-2</v>
      </c>
      <c r="U19" s="134" t="s">
        <v>251</v>
      </c>
      <c r="V19" s="170">
        <f>SUMIF(Table13[Scope/Sub-Type],'INN Income Splits'!$S$6,Table13[agg_sub_type_Earned Income - Syndication])</f>
        <v>67419</v>
      </c>
      <c r="W19" s="176">
        <f t="shared" si="20"/>
        <v>3.2291282223119639E-3</v>
      </c>
      <c r="X19" s="170">
        <f>AVERAGEIFS(Table13[agg_sub_type_Earned Income - Syndication],Table13[Scope/Sub-Type],$S$6,Table13[agg_sub_type_Earned Income - Syndication],"&gt;0")</f>
        <v>6129</v>
      </c>
      <c r="Y19" s="164">
        <f t="shared" si="21"/>
        <v>3.2291282223119639E-3</v>
      </c>
      <c r="Z19" s="176">
        <f t="shared" si="12"/>
        <v>1.2805814970769623E-3</v>
      </c>
      <c r="AD19" s="134" t="s">
        <v>251</v>
      </c>
      <c r="AE19" s="170">
        <f>SUMIF(Table13[Scope/Sub-Type],'INN Income Splits'!$AB$6,Table13[agg_sub_type_Earned Income - Syndication])</f>
        <v>1050226.6666666667</v>
      </c>
      <c r="AF19" s="176">
        <f t="shared" si="22"/>
        <v>0.32716049441685813</v>
      </c>
      <c r="AG19" s="170">
        <f>AVERAGEIFS(Table13[agg_sub_type_Earned Income - Syndication],Table13[Scope/Sub-Type],$AB$6,Table13[agg_sub_type_Earned Income - Syndication],"&gt;0")</f>
        <v>131278.33333333334</v>
      </c>
      <c r="AH19" s="176">
        <f t="shared" si="23"/>
        <v>0.32716049441685813</v>
      </c>
      <c r="AI19" s="176">
        <f t="shared" si="13"/>
        <v>1.4804347334194315E-2</v>
      </c>
    </row>
    <row r="20" spans="1:35" x14ac:dyDescent="0.2">
      <c r="B20" s="137"/>
      <c r="C20" s="137" t="s">
        <v>248</v>
      </c>
      <c r="D20" s="181" t="e">
        <f>SUMIF(Table13[Scope/Sub-Type],'INN Income Splits'!$A$6,#REF!)</f>
        <v>#REF!</v>
      </c>
      <c r="E20" s="182" t="e">
        <f t="shared" si="14"/>
        <v>#REF!</v>
      </c>
      <c r="F20" s="181">
        <f>AVERAGEIFS(Table13[agg_sub_type_Earned Income - Other],Table13[Scope/Sub-Type],$A$6)</f>
        <v>22520.766874999979</v>
      </c>
      <c r="G20" s="182">
        <f t="shared" si="15"/>
        <v>5.5979733996190349E-2</v>
      </c>
      <c r="H20" s="182">
        <f t="shared" si="16"/>
        <v>2.5814991178694732E-2</v>
      </c>
      <c r="K20" s="137"/>
      <c r="L20" s="137" t="s">
        <v>248</v>
      </c>
      <c r="M20" s="181">
        <f>SUMIF(Table13[Scope/Sub-Type],'INN Income Splits'!$J$6,Table13[agg_sub_type_Earned Income - Other])</f>
        <v>17859265.75</v>
      </c>
      <c r="N20" s="182">
        <f t="shared" si="17"/>
        <v>0.25320561044149714</v>
      </c>
      <c r="O20" s="181">
        <f>AVERAGEIFS(Table13[agg_sub_type_Earned Income - Other],Table13[Scope/Sub-Type],$J$6,Table13[agg_sub_type_Earned Income - Other],"&gt;0")</f>
        <v>615836.75</v>
      </c>
      <c r="P20" s="182">
        <f t="shared" si="18"/>
        <v>0.25320561044149709</v>
      </c>
      <c r="Q20" s="182">
        <f t="shared" si="19"/>
        <v>0.17213417638212511</v>
      </c>
      <c r="T20" s="137"/>
      <c r="U20" s="137" t="s">
        <v>248</v>
      </c>
      <c r="V20" s="181">
        <f>SUMIF(Table13[Scope/Sub-Type],'INN Income Splits'!$S$6,Table13[agg_sub_type_Earned Income - Other])</f>
        <v>1553772</v>
      </c>
      <c r="W20" s="182">
        <f t="shared" si="20"/>
        <v>7.4420104365803486E-2</v>
      </c>
      <c r="X20" s="181">
        <f>AVERAGEIFS(Table13[agg_sub_type_Earned Income - Other],Table13[Scope/Sub-Type],$S$6,Table13[agg_sub_type_Earned Income - Other],"&gt;0")</f>
        <v>141252</v>
      </c>
      <c r="Y20" s="182">
        <f t="shared" si="21"/>
        <v>7.4420104365803486E-2</v>
      </c>
      <c r="Z20" s="182">
        <f t="shared" si="12"/>
        <v>2.9512921785791332E-2</v>
      </c>
      <c r="AC20" s="137"/>
      <c r="AD20" s="137" t="s">
        <v>248</v>
      </c>
      <c r="AE20" s="181">
        <f>SUMIF(Table13[Scope/Sub-Type],'INN Income Splits'!$AB$6,Table13[agg_sub_type_Earned Income - Other])</f>
        <v>499903.60000000003</v>
      </c>
      <c r="AF20" s="182">
        <f t="shared" si="22"/>
        <v>0.15572705790822991</v>
      </c>
      <c r="AG20" s="181">
        <f>AVERAGEIFS(Table13[agg_sub_type_Earned Income - Other],Table13[Scope/Sub-Type],$AB$6,Table13[agg_sub_type_Earned Income - Other],"&gt;0")</f>
        <v>62487.950000000004</v>
      </c>
      <c r="AH20" s="182">
        <f t="shared" si="23"/>
        <v>0.15572705790822991</v>
      </c>
      <c r="AI20" s="176">
        <f t="shared" si="13"/>
        <v>7.0468088108098645E-3</v>
      </c>
    </row>
    <row r="21" spans="1:35" ht="12.75" thickBot="1" x14ac:dyDescent="0.25">
      <c r="B21" s="211"/>
      <c r="C21" s="211" t="s">
        <v>60</v>
      </c>
      <c r="D21" s="212" t="e">
        <f>SUM(D15:D20)</f>
        <v>#REF!</v>
      </c>
      <c r="E21" s="213" t="e">
        <f t="shared" ref="E21" si="24">SUM(E15:E20)</f>
        <v>#REF!</v>
      </c>
      <c r="F21" s="212">
        <f>SUM(F15:F20)</f>
        <v>402302.14163812588</v>
      </c>
      <c r="G21" s="214">
        <f>SUM(G15:G20)</f>
        <v>1</v>
      </c>
      <c r="H21" s="213">
        <f>SUM(H15:H20)</f>
        <v>0.46114887184800757</v>
      </c>
      <c r="K21" s="211"/>
      <c r="L21" s="211" t="s">
        <v>60</v>
      </c>
      <c r="M21" s="212">
        <f>SUM(M15:M20)</f>
        <v>70532662.048285708</v>
      </c>
      <c r="N21" s="213">
        <f t="shared" ref="N21" si="25">SUM(N15:N20)</f>
        <v>1</v>
      </c>
      <c r="O21" s="212">
        <f>SUM(O15:O20)</f>
        <v>2432160.7602857146</v>
      </c>
      <c r="P21" s="214">
        <f>SUM(P15:P20)</f>
        <v>0.99999999999999978</v>
      </c>
      <c r="Q21" s="229">
        <f>SUM(Q15:Q20)</f>
        <v>0.67981975629207692</v>
      </c>
      <c r="T21" s="211"/>
      <c r="U21" s="211" t="s">
        <v>60</v>
      </c>
      <c r="V21" s="212">
        <f>SUM(V15:V20)</f>
        <v>20878390.5</v>
      </c>
      <c r="W21" s="213">
        <f t="shared" ref="W21" si="26">SUM(W15:W20)</f>
        <v>0.99999999999999989</v>
      </c>
      <c r="X21" s="212">
        <f>SUM(X15:X20)</f>
        <v>1898035.5</v>
      </c>
      <c r="Y21" s="214">
        <f>SUM(Y15:Y20)</f>
        <v>0.99999999999999989</v>
      </c>
      <c r="Z21" s="213">
        <f>SUM(Z15:Z20)</f>
        <v>0.39657189461498138</v>
      </c>
      <c r="AC21" s="211"/>
      <c r="AD21" s="211" t="s">
        <v>60</v>
      </c>
      <c r="AE21" s="212">
        <f>SUM(AE15:AE20)</f>
        <v>3210126.7866666666</v>
      </c>
      <c r="AF21" s="213">
        <f t="shared" ref="AF21" si="27">SUM(AF15:AF20)</f>
        <v>1</v>
      </c>
      <c r="AG21" s="212">
        <f>SUM(AG15:AG20)</f>
        <v>401265.84833333333</v>
      </c>
      <c r="AH21" s="214">
        <f>SUM(AH15:AH20)</f>
        <v>1</v>
      </c>
      <c r="AI21" s="213">
        <f>SUM(AI15:AI20)</f>
        <v>4.5251023845596275E-2</v>
      </c>
    </row>
    <row r="22" spans="1:35" s="133" customFormat="1" ht="12.75" thickTop="1" x14ac:dyDescent="0.2">
      <c r="B22" s="133" t="s">
        <v>60</v>
      </c>
      <c r="D22" s="201" t="e">
        <f>D13+D21</f>
        <v>#REF!</v>
      </c>
      <c r="E22" s="165"/>
      <c r="F22" s="201">
        <f>F13+F21</f>
        <v>872391.03508144931</v>
      </c>
      <c r="G22" s="215"/>
      <c r="H22" s="165">
        <f>H21+H13</f>
        <v>1</v>
      </c>
      <c r="K22" s="133" t="s">
        <v>60</v>
      </c>
      <c r="M22" s="201">
        <f>M13+M21</f>
        <v>103752003.96203572</v>
      </c>
      <c r="N22" s="165"/>
      <c r="O22" s="201">
        <f>O13+O21</f>
        <v>3577655.3090357147</v>
      </c>
      <c r="P22" s="215"/>
      <c r="Q22" s="165">
        <f>Q21+Q13</f>
        <v>1</v>
      </c>
      <c r="T22" s="133" t="s">
        <v>60</v>
      </c>
      <c r="V22" s="201">
        <f>V13+V21</f>
        <v>52647176.422499992</v>
      </c>
      <c r="W22" s="165"/>
      <c r="X22" s="201">
        <f>X13+X21</f>
        <v>4786106.9474999998</v>
      </c>
      <c r="Y22" s="215"/>
      <c r="Z22" s="165">
        <f>Z21+Z13</f>
        <v>1</v>
      </c>
      <c r="AC22" s="133" t="s">
        <v>60</v>
      </c>
      <c r="AE22" s="201">
        <f>AE13+AE21</f>
        <v>70940423.306666657</v>
      </c>
      <c r="AF22" s="165"/>
      <c r="AG22" s="201">
        <f>AG13+AG21</f>
        <v>8867552.9133333322</v>
      </c>
      <c r="AH22" s="215"/>
      <c r="AI22" s="165">
        <f>AI21+AI13</f>
        <v>1.0000000000000002</v>
      </c>
    </row>
    <row r="23" spans="1:35" x14ac:dyDescent="0.2">
      <c r="D23" s="191"/>
      <c r="E23" s="164"/>
      <c r="F23" s="191"/>
      <c r="G23" s="186"/>
      <c r="H23" s="164"/>
      <c r="M23" s="191"/>
      <c r="N23" s="164"/>
      <c r="O23" s="191"/>
      <c r="P23" s="186"/>
      <c r="Q23" s="164"/>
      <c r="V23" s="191"/>
      <c r="W23" s="164"/>
      <c r="X23" s="191"/>
      <c r="Y23" s="186"/>
      <c r="Z23" s="164"/>
      <c r="AE23" s="191"/>
      <c r="AF23" s="164"/>
      <c r="AG23" s="191"/>
      <c r="AH23" s="186"/>
      <c r="AI23" s="164"/>
    </row>
    <row r="25" spans="1:35" x14ac:dyDescent="0.2">
      <c r="A25" s="217" t="s">
        <v>121</v>
      </c>
      <c r="B25" s="218"/>
      <c r="C25" s="218"/>
      <c r="D25" s="218"/>
      <c r="E25" s="218"/>
      <c r="F25" s="218"/>
      <c r="G25" s="218"/>
      <c r="H25" s="218"/>
      <c r="J25" s="217" t="s">
        <v>124</v>
      </c>
      <c r="K25" s="218"/>
      <c r="L25" s="218"/>
      <c r="M25" s="218"/>
      <c r="N25" s="218"/>
      <c r="O25" s="218"/>
      <c r="P25" s="218"/>
      <c r="Q25" s="218"/>
      <c r="S25" s="217" t="s">
        <v>127</v>
      </c>
      <c r="T25" s="218"/>
      <c r="U25" s="218"/>
      <c r="V25" s="218"/>
      <c r="W25" s="218"/>
      <c r="X25" s="218"/>
      <c r="Y25" s="218"/>
      <c r="Z25" s="218"/>
      <c r="AB25" s="217" t="s">
        <v>130</v>
      </c>
      <c r="AC25" s="218"/>
      <c r="AD25" s="218"/>
      <c r="AE25" s="218"/>
      <c r="AF25" s="218"/>
      <c r="AG25" s="218"/>
      <c r="AH25" s="218"/>
      <c r="AI25" s="218"/>
    </row>
    <row r="26" spans="1:35" ht="24" x14ac:dyDescent="0.2">
      <c r="A26" s="166"/>
      <c r="B26" s="166"/>
      <c r="C26" s="166"/>
      <c r="D26" s="166" t="s">
        <v>269</v>
      </c>
      <c r="E26" s="166" t="s">
        <v>282</v>
      </c>
      <c r="F26" s="166" t="s">
        <v>283</v>
      </c>
      <c r="G26" s="166" t="s">
        <v>284</v>
      </c>
      <c r="H26" s="166" t="s">
        <v>285</v>
      </c>
      <c r="J26" s="166"/>
      <c r="K26" s="166"/>
      <c r="L26" s="166"/>
      <c r="M26" s="166" t="s">
        <v>269</v>
      </c>
      <c r="N26" s="166" t="s">
        <v>282</v>
      </c>
      <c r="O26" s="166" t="s">
        <v>283</v>
      </c>
      <c r="P26" s="166" t="s">
        <v>284</v>
      </c>
      <c r="Q26" s="166" t="s">
        <v>285</v>
      </c>
      <c r="S26" s="166"/>
      <c r="T26" s="166"/>
      <c r="U26" s="166"/>
      <c r="V26" s="166" t="s">
        <v>269</v>
      </c>
      <c r="W26" s="166" t="s">
        <v>282</v>
      </c>
      <c r="X26" s="166" t="s">
        <v>283</v>
      </c>
      <c r="Y26" s="166" t="s">
        <v>284</v>
      </c>
      <c r="Z26" s="166" t="s">
        <v>285</v>
      </c>
      <c r="AB26" s="166"/>
      <c r="AC26" s="166"/>
      <c r="AD26" s="166"/>
      <c r="AE26" s="166" t="s">
        <v>269</v>
      </c>
      <c r="AF26" s="166" t="s">
        <v>282</v>
      </c>
      <c r="AG26" s="166" t="s">
        <v>283</v>
      </c>
      <c r="AH26" s="166" t="s">
        <v>284</v>
      </c>
      <c r="AI26" s="166" t="s">
        <v>285</v>
      </c>
    </row>
    <row r="27" spans="1:35" x14ac:dyDescent="0.2">
      <c r="B27" s="134" t="s">
        <v>246</v>
      </c>
      <c r="D27" s="170"/>
      <c r="K27" s="134" t="s">
        <v>246</v>
      </c>
      <c r="M27" s="170"/>
      <c r="T27" s="134" t="s">
        <v>246</v>
      </c>
      <c r="V27" s="170"/>
      <c r="AC27" s="134" t="s">
        <v>246</v>
      </c>
      <c r="AE27" s="170"/>
    </row>
    <row r="28" spans="1:35" x14ac:dyDescent="0.2">
      <c r="C28" s="134" t="s">
        <v>134</v>
      </c>
      <c r="D28" s="170">
        <f>SUMIF(Table13[Scope/Sub-Type],'INN Income Splits'!A25,Table13[agg_sub_type_Cont. Income - Foundations])</f>
        <v>10046716.1</v>
      </c>
      <c r="E28" s="164">
        <f>D28/D32</f>
        <v>0.57006063239402649</v>
      </c>
      <c r="F28" s="170">
        <f>AVERAGEIFS(Table13[agg_sub_type_Cont. Income - Foundations],Table13[Scope/Sub-Type],A25,Table13[agg_sub_type_Cont. Income - Foundations],"&gt;0")</f>
        <v>401868.64399999997</v>
      </c>
      <c r="G28" s="164">
        <f>F28/$F$32</f>
        <v>0.5700606323940266</v>
      </c>
      <c r="H28" s="176">
        <f>F28/$F$41</f>
        <v>0.36871021173844654</v>
      </c>
      <c r="L28" s="134" t="s">
        <v>134</v>
      </c>
      <c r="M28" s="170">
        <f>SUMIF(Table13[Scope/Sub-Type],'INN Income Splits'!J25,Table13[agg_sub_type_Cont. Income - Foundations])</f>
        <v>16481235.148695659</v>
      </c>
      <c r="N28" s="164">
        <f>M28/M32</f>
        <v>0.40314004540023107</v>
      </c>
      <c r="O28" s="170">
        <f>AVERAGEIFS(Table13[agg_sub_type_Cont. Income - Foundations],Table13[Scope/Sub-Type],J25,Table13[agg_sub_type_Cont. Income - Foundations],"&gt;0")</f>
        <v>633893.65956521768</v>
      </c>
      <c r="P28" s="176">
        <f>O28/$O$32</f>
        <v>0.40314004540023102</v>
      </c>
      <c r="Q28" s="176">
        <f>M28/$M$41</f>
        <v>0.28044922516570697</v>
      </c>
      <c r="U28" s="134" t="s">
        <v>134</v>
      </c>
      <c r="V28" s="170">
        <f>SUMIF(Table13[Scope/Sub-Type],'INN Income Splits'!S25,Table13[agg_sub_type_Cont. Income - Foundations])</f>
        <v>1688484.6000000003</v>
      </c>
      <c r="W28" s="164">
        <f>V28/V32</f>
        <v>0.41525131007046728</v>
      </c>
      <c r="X28" s="170">
        <f>AVERAGEIFS(Table13[agg_sub_type_Cont. Income - Foundations],Table13[Scope/Sub-Type],S25,Table13[agg_sub_type_Cont. Income - Foundations],"&gt;0")</f>
        <v>153498.60000000003</v>
      </c>
      <c r="Y28" s="176">
        <f>X28/$X$32</f>
        <v>0.41525131007046728</v>
      </c>
      <c r="Z28" s="176">
        <f>X28/$X$41</f>
        <v>0.17045164147451922</v>
      </c>
      <c r="AD28" s="134" t="s">
        <v>134</v>
      </c>
      <c r="AE28" s="170">
        <f>SUMIF(Table13[Scope/Sub-Type],'INN Income Splits'!AB25,Table13[agg_sub_type_Cont. Income - Foundations])</f>
        <v>24661287.5</v>
      </c>
      <c r="AF28" s="164">
        <f>AE28/AE32</f>
        <v>0.54055936763219536</v>
      </c>
      <c r="AG28" s="170">
        <f>AVERAGEIFS(Table13[agg_sub_type_Cont. Income - Foundations],Table13[Scope/Sub-Type],AB25,Table13[agg_sub_type_Cont. Income - Foundations],"&gt;0")</f>
        <v>1233064.375</v>
      </c>
      <c r="AH28" s="176">
        <f>AG28/$AG$32</f>
        <v>0.54055936763219525</v>
      </c>
      <c r="AI28" s="176">
        <f>AG28/$AG$41</f>
        <v>0.37803967979192449</v>
      </c>
    </row>
    <row r="29" spans="1:35" x14ac:dyDescent="0.2">
      <c r="C29" s="134" t="s">
        <v>135</v>
      </c>
      <c r="D29" s="170">
        <f>SUMIF(Table13[Scope/Sub-Type],'INN Income Splits'!A25,Table13[agg_sub_type_Cont. Income - Membership])</f>
        <v>2521562.6999999993</v>
      </c>
      <c r="E29" s="164">
        <f>D29/D32</f>
        <v>0.14307596761723848</v>
      </c>
      <c r="F29" s="170">
        <f>AVERAGEIFS(Table13[agg_sub_type_Cont. Income - Membership],Table13[Scope/Sub-Type],$A$25,Table13[agg_sub_type_Cont. Income - Membership],"&gt;0")</f>
        <v>100862.50799999997</v>
      </c>
      <c r="G29" s="164">
        <f>F29/$F$32</f>
        <v>0.14307596761723851</v>
      </c>
      <c r="H29" s="176">
        <f t="shared" ref="H29:H31" si="28">F29/$F$41</f>
        <v>9.25402796072608E-2</v>
      </c>
      <c r="L29" s="134" t="s">
        <v>135</v>
      </c>
      <c r="M29" s="170">
        <f>SUMIF(Table13[Scope/Sub-Type],'INN Income Splits'!J25,Table13[agg_sub_type_Cont. Income - Membership])</f>
        <v>6166842.5</v>
      </c>
      <c r="N29" s="164">
        <f>M29/M32</f>
        <v>0.1508443477079342</v>
      </c>
      <c r="O29" s="170">
        <f>AVERAGEIFS(Table13[agg_sub_type_Cont. Income - Membership],Table13[Scope/Sub-Type],$J$25,Table13[agg_sub_type_Cont. Income - Membership],"&gt;0")</f>
        <v>237186.25</v>
      </c>
      <c r="P29" s="176">
        <f t="shared" ref="P29:P31" si="29">O29/$O$32</f>
        <v>0.15084434770793417</v>
      </c>
      <c r="Q29" s="176">
        <f>M29/$M$41</f>
        <v>0.10493668619131526</v>
      </c>
      <c r="U29" s="134" t="s">
        <v>135</v>
      </c>
      <c r="V29" s="170">
        <f>SUMIF(Table13[Scope/Sub-Type],'INN Income Splits'!S25,Table13[agg_sub_type_Cont. Income - Membership])</f>
        <v>899422.33333333326</v>
      </c>
      <c r="W29" s="164">
        <f>V29/V32</f>
        <v>0.22119615554877023</v>
      </c>
      <c r="X29" s="170">
        <f>AVERAGEIFS(Table13[agg_sub_type_Cont. Income - Membership],Table13[Scope/Sub-Type],$S$25,Table13[agg_sub_type_Cont. Income - Membership],"&gt;0")</f>
        <v>81765.666666666657</v>
      </c>
      <c r="Y29" s="176">
        <f t="shared" ref="Y29:Y31" si="30">X29/$X$32</f>
        <v>0.2211961555487702</v>
      </c>
      <c r="Z29" s="176">
        <f t="shared" ref="Z29:Z31" si="31">X29/$X$41</f>
        <v>9.0796216379769645E-2</v>
      </c>
      <c r="AD29" s="134" t="s">
        <v>135</v>
      </c>
      <c r="AE29" s="170">
        <f>SUMIF(Table13[Scope/Sub-Type],'INN Income Splits'!AB25,Table13[agg_sub_type_Cont. Income - Membership])</f>
        <v>5393211.9999999991</v>
      </c>
      <c r="AF29" s="164">
        <f>AE29/AE32</f>
        <v>0.11821569608749612</v>
      </c>
      <c r="AG29" s="170">
        <f>AVERAGEIFS(Table13[agg_sub_type_Cont. Income - Membership],Table13[Scope/Sub-Type],$AB$25,Table13[agg_sub_type_Cont. Income - Membership],"&gt;0")</f>
        <v>269660.59999999998</v>
      </c>
      <c r="AH29" s="176">
        <f t="shared" ref="AH29:AH31" si="32">AG29/$AG$32</f>
        <v>0.11821569608749612</v>
      </c>
      <c r="AI29" s="176">
        <f t="shared" ref="AI29:AI31" si="33">AG29/$AG$41</f>
        <v>8.2674034659786691E-2</v>
      </c>
    </row>
    <row r="30" spans="1:35" x14ac:dyDescent="0.2">
      <c r="C30" s="134" t="s">
        <v>247</v>
      </c>
      <c r="D30" s="170">
        <f>SUMIF(Table13[Scope/Sub-Type],'INN Income Splits'!A25,Table13[agg_sub_type_Total Individual Donations])</f>
        <v>3943997.5476190457</v>
      </c>
      <c r="E30" s="164">
        <f>D30/D32</f>
        <v>0.22378633115314198</v>
      </c>
      <c r="F30" s="170">
        <f>AVERAGEIFS(Table13[agg_sub_type_Total Individual Donations],Table13[Scope/Sub-Type],$A$25,Table13[agg_sub_type_Total Individual Donations],"&gt;0")</f>
        <v>157759.90190476182</v>
      </c>
      <c r="G30" s="164">
        <f>F30/$F$32</f>
        <v>0.223786331153142</v>
      </c>
      <c r="H30" s="176">
        <f t="shared" si="28"/>
        <v>0.14474303408240352</v>
      </c>
      <c r="L30" s="134" t="s">
        <v>247</v>
      </c>
      <c r="M30" s="170">
        <f>SUMIF(Table13[Scope/Sub-Type],'INN Income Splits'!J25,Table13[agg_sub_type_Total Individual Donations])</f>
        <v>17054034.98782609</v>
      </c>
      <c r="N30" s="164">
        <f>M30/M32</f>
        <v>0.41715104342731535</v>
      </c>
      <c r="O30" s="170">
        <f>AVERAGEIFS(Table13[agg_sub_type_Total Individual Donations],Table13[Scope/Sub-Type],$J$25,Table13[agg_sub_type_Total Individual Donations],"&gt;0")</f>
        <v>655924.42260869581</v>
      </c>
      <c r="P30" s="176">
        <f t="shared" si="29"/>
        <v>0.41715104342731529</v>
      </c>
      <c r="Q30" s="176">
        <f>M30/$M$41</f>
        <v>0.29019614459315562</v>
      </c>
      <c r="U30" s="134" t="s">
        <v>247</v>
      </c>
      <c r="V30" s="170">
        <f>SUMIF(Table13[Scope/Sub-Type],'INN Income Splits'!S25,Table13[agg_sub_type_Total Individual Donations])</f>
        <v>1478268.3177777778</v>
      </c>
      <c r="W30" s="164">
        <f>V30/V32</f>
        <v>0.36355253438076246</v>
      </c>
      <c r="X30" s="170">
        <f>AVERAGEIFS(Table13[agg_sub_type_Total Individual Donations],Table13[Scope/Sub-Type],$S$25,Table13[agg_sub_type_Total Individual Donations],"&gt;0")</f>
        <v>134388.02888888889</v>
      </c>
      <c r="Y30" s="176">
        <f t="shared" si="30"/>
        <v>0.36355253438076246</v>
      </c>
      <c r="Z30" s="176">
        <f t="shared" si="31"/>
        <v>0.14923041720664693</v>
      </c>
      <c r="AD30" s="134" t="s">
        <v>247</v>
      </c>
      <c r="AE30" s="170">
        <f>SUMIF(Table13[Scope/Sub-Type],'INN Income Splits'!AB25,Table13[agg_sub_type_Total Individual Donations])</f>
        <v>11670905.362499993</v>
      </c>
      <c r="AF30" s="164">
        <f>AE30/AE32</f>
        <v>0.25581864784830044</v>
      </c>
      <c r="AG30" s="170">
        <f>AVERAGEIFS(Table13[agg_sub_type_Total Individual Donations],Table13[Scope/Sub-Type],$AB$25,Table13[agg_sub_type_Total Individual Donations],"&gt;0")</f>
        <v>583545.26812499971</v>
      </c>
      <c r="AH30" s="176">
        <f t="shared" si="32"/>
        <v>0.25581864784830044</v>
      </c>
      <c r="AI30" s="176">
        <f t="shared" si="33"/>
        <v>0.17890652814137753</v>
      </c>
    </row>
    <row r="31" spans="1:35" x14ac:dyDescent="0.2">
      <c r="B31" s="137"/>
      <c r="C31" s="137" t="s">
        <v>248</v>
      </c>
      <c r="D31" s="181">
        <f>SUMIF(Table13[Scope/Sub-Type],'INN Income Splits'!A25,Table13[agg_sub_type_Cont. Income - Other])</f>
        <v>1111666.6666666665</v>
      </c>
      <c r="E31" s="182">
        <f>D31/D32</f>
        <v>6.30770688355929E-2</v>
      </c>
      <c r="F31" s="181">
        <f>AVERAGEIFS(Table13[agg_sub_type_Cont. Income - Other],Table13[Scope/Sub-Type],$A$25,Table13[agg_sub_type_Cont. Income - Other],"&gt;0")</f>
        <v>44466.666666666657</v>
      </c>
      <c r="G31" s="182">
        <f>F31/$F$32</f>
        <v>6.30770688355929E-2</v>
      </c>
      <c r="H31" s="182">
        <f t="shared" si="28"/>
        <v>4.0797694288309753E-2</v>
      </c>
      <c r="K31" s="137"/>
      <c r="L31" s="137" t="s">
        <v>248</v>
      </c>
      <c r="M31" s="181">
        <f>SUMIF(Table13[Scope/Sub-Type],'INN Income Splits'!J25,Table13[agg_sub_type_Cont. Income - Other])</f>
        <v>1180045.6524999996</v>
      </c>
      <c r="N31" s="182">
        <f>M31/M32</f>
        <v>2.8864563464519488E-2</v>
      </c>
      <c r="O31" s="181">
        <f>AVERAGEIFS(Table13[agg_sub_type_Cont. Income - Other],Table13[Scope/Sub-Type],$J$25,Table13[agg_sub_type_Cont. Income - Other],"&gt;0")</f>
        <v>45386.371249999982</v>
      </c>
      <c r="P31" s="182">
        <f t="shared" si="29"/>
        <v>2.8864563464519481E-2</v>
      </c>
      <c r="Q31" s="182">
        <f>M31/$M$41</f>
        <v>2.0079981015863193E-2</v>
      </c>
      <c r="T31" s="137"/>
      <c r="U31" s="137" t="s">
        <v>248</v>
      </c>
      <c r="V31" s="181">
        <f>SUMIF(Table13[Scope/Sub-Type],'INN Income Splits'!S25,Table13[agg_sub_type_Cont. Income - Other])</f>
        <v>0</v>
      </c>
      <c r="W31" s="182">
        <f>V31/V32</f>
        <v>0</v>
      </c>
      <c r="X31" s="181">
        <f>IFERROR(AVERAGEIFS(Table13[agg_sub_type_Cont. Income - Other],Table13[Scope/Sub-Type],$S$25,Table13[agg_sub_type_Cont. Income - Other],"&gt;0"),0)</f>
        <v>0</v>
      </c>
      <c r="Y31" s="182">
        <f t="shared" si="30"/>
        <v>0</v>
      </c>
      <c r="Z31" s="182">
        <f t="shared" si="31"/>
        <v>0</v>
      </c>
      <c r="AC31" s="137"/>
      <c r="AD31" s="137" t="s">
        <v>248</v>
      </c>
      <c r="AE31" s="181">
        <f>SUMIF(Table13[Scope/Sub-Type],'INN Income Splits'!AB25,Table13[agg_sub_type_Cont. Income - Other])</f>
        <v>3896387.9999999986</v>
      </c>
      <c r="AF31" s="182">
        <f>AE31/AE32</f>
        <v>8.5406288432007996E-2</v>
      </c>
      <c r="AG31" s="181">
        <f>AVERAGEIFS(Table13[agg_sub_type_Cont. Income - Other],Table13[Scope/Sub-Type],$AB$25,Table13[agg_sub_type_Cont. Income - Other],"&gt;0")</f>
        <v>194819.39999999994</v>
      </c>
      <c r="AH31" s="182">
        <f t="shared" si="32"/>
        <v>8.5406288432007996E-2</v>
      </c>
      <c r="AI31" s="182">
        <f t="shared" si="33"/>
        <v>5.9728806610972622E-2</v>
      </c>
    </row>
    <row r="32" spans="1:35" x14ac:dyDescent="0.2">
      <c r="C32" s="134" t="s">
        <v>60</v>
      </c>
      <c r="D32" s="170">
        <f>SUM(D28:D31)</f>
        <v>17623943.014285713</v>
      </c>
      <c r="E32" s="186">
        <f>SUM(E28:E31)</f>
        <v>0.99999999999999989</v>
      </c>
      <c r="F32" s="191">
        <f>SUM(F28:F31)</f>
        <v>704957.72057142842</v>
      </c>
      <c r="G32" s="186">
        <f>SUM(G28:G31)</f>
        <v>1</v>
      </c>
      <c r="H32" s="186">
        <f>SUM(H28:H31)</f>
        <v>0.64679121971642051</v>
      </c>
      <c r="L32" s="134" t="s">
        <v>60</v>
      </c>
      <c r="M32" s="170">
        <f>SUM(M28:M31)</f>
        <v>40882158.289021745</v>
      </c>
      <c r="N32" s="186">
        <f>SUM(N28:N31)</f>
        <v>1</v>
      </c>
      <c r="O32" s="191">
        <f>SUM(O28:O31)</f>
        <v>1572390.7034239136</v>
      </c>
      <c r="P32" s="186">
        <f>SUM(P28:P31)</f>
        <v>1</v>
      </c>
      <c r="Q32" s="186">
        <f>SUM(Q28:Q31)</f>
        <v>0.69566203696604101</v>
      </c>
      <c r="U32" s="134" t="s">
        <v>60</v>
      </c>
      <c r="V32" s="170">
        <f>SUM(V28:V31)</f>
        <v>4066175.2511111116</v>
      </c>
      <c r="W32" s="186">
        <f>SUM(W28:W31)</f>
        <v>1</v>
      </c>
      <c r="X32" s="191">
        <f>SUM(X28:X31)</f>
        <v>369652.29555555561</v>
      </c>
      <c r="Y32" s="186">
        <f>SUM(Y28:Y31)</f>
        <v>1</v>
      </c>
      <c r="Z32" s="186">
        <f>SUM(Z28:Z31)</f>
        <v>0.41047827506093576</v>
      </c>
      <c r="AD32" s="134" t="s">
        <v>60</v>
      </c>
      <c r="AE32" s="170">
        <f>SUM(AE28:AE31)</f>
        <v>45621792.862499997</v>
      </c>
      <c r="AF32" s="186">
        <f>SUM(AF28:AF31)</f>
        <v>1</v>
      </c>
      <c r="AG32" s="191">
        <f>SUM(AG28:AG31)</f>
        <v>2281089.6431249999</v>
      </c>
      <c r="AH32" s="186">
        <f>SUM(AH28:AH31)</f>
        <v>0.99999999999999989</v>
      </c>
      <c r="AI32" s="186">
        <f>SUM(AI28:AI31)</f>
        <v>0.69934904920406127</v>
      </c>
    </row>
    <row r="33" spans="1:35" x14ac:dyDescent="0.2">
      <c r="B33" s="134" t="s">
        <v>250</v>
      </c>
      <c r="K33" s="134" t="s">
        <v>250</v>
      </c>
      <c r="T33" s="134" t="s">
        <v>250</v>
      </c>
      <c r="AC33" s="134" t="s">
        <v>250</v>
      </c>
    </row>
    <row r="34" spans="1:35" x14ac:dyDescent="0.2">
      <c r="C34" s="134" t="s">
        <v>137</v>
      </c>
      <c r="D34" s="170">
        <f>SUMIF(Table13[Scope/Sub-Type],'INN Income Splits'!$A$25,Table13[agg_sub_type_Earned Income - Advertising])</f>
        <v>395369.50000000023</v>
      </c>
      <c r="E34" s="164">
        <f t="shared" ref="E34:E39" si="34">D34/$D$40</f>
        <v>4.1080215035302931E-2</v>
      </c>
      <c r="F34" s="170">
        <f>AVERAGEIFS(Table13[agg_sub_type_Earned Income - Advertising],Table13[Scope/Sub-Type],$A$25,Table13[agg_sub_type_Earned Income - Advertising],"&gt;0")</f>
        <v>15814.78000000001</v>
      </c>
      <c r="G34" s="164">
        <f t="shared" ref="G34:G39" si="35">F34/$F$40</f>
        <v>4.1080215035302937E-2</v>
      </c>
      <c r="H34" s="176">
        <f>F34/$F$41</f>
        <v>1.4509892646406505E-2</v>
      </c>
      <c r="L34" s="134" t="s">
        <v>137</v>
      </c>
      <c r="M34" s="170">
        <f>SUMIF(Table13[Scope/Sub-Type],'INN Income Splits'!$J$25,Table13[agg_sub_type_Earned Income - Advertising])</f>
        <v>1944810.3999999992</v>
      </c>
      <c r="N34" s="164">
        <f>M34/$M$40</f>
        <v>0.10873907327423775</v>
      </c>
      <c r="O34" s="170">
        <f>AVERAGEIFS(Table13[agg_sub_type_Earned Income - Advertising],Table13[Scope/Sub-Type],$J$25,Table13[agg_sub_type_Earned Income - Advertising],"&gt;0")</f>
        <v>74800.399999999965</v>
      </c>
      <c r="P34" s="176">
        <f>O34/$O$40</f>
        <v>0.10873907327423774</v>
      </c>
      <c r="Q34" s="176">
        <f t="shared" ref="Q34:Q39" si="36">M34/$M$41</f>
        <v>3.309342806248193E-2</v>
      </c>
      <c r="U34" s="134" t="s">
        <v>137</v>
      </c>
      <c r="V34" s="170">
        <f>SUMIF(Table13[Scope/Sub-Type],'INN Income Splits'!$S$25,Table13[agg_sub_type_Earned Income - Advertising])</f>
        <v>1200237.5</v>
      </c>
      <c r="W34" s="176">
        <f>V34/$V$40</f>
        <v>0.20552822016187336</v>
      </c>
      <c r="X34" s="170">
        <f>AVERAGEIFS(Table13[agg_sub_type_Earned Income - Advertising],Table13[Scope/Sub-Type],$S$25,Table13[agg_sub_type_Earned Income - Advertising],"&gt;0")</f>
        <v>109112.5</v>
      </c>
      <c r="Y34" s="164">
        <f>X34/$X$40</f>
        <v>0.20552822016187342</v>
      </c>
      <c r="Z34" s="176">
        <f>X34/$X$41</f>
        <v>0.12116335087348336</v>
      </c>
      <c r="AD34" s="134" t="s">
        <v>137</v>
      </c>
      <c r="AE34" s="170">
        <f>SUMIF(Table13[Scope/Sub-Type],'INN Income Splits'!$AB$25,Table13[agg_sub_type_Earned Income - Advertising])</f>
        <v>3601995.2500000014</v>
      </c>
      <c r="AF34" s="176">
        <f>AE34/$AE$40</f>
        <v>0.1836547623787686</v>
      </c>
      <c r="AG34" s="170">
        <f>AVERAGEIFS(Table13[agg_sub_type_Earned Income - Advertising],Table13[Scope/Sub-Type],$AB$25,Table13[agg_sub_type_Earned Income - Advertising],"&gt;0")</f>
        <v>180099.76250000007</v>
      </c>
      <c r="AH34" s="176">
        <f>AG34/$AG$40</f>
        <v>0.1836547623787686</v>
      </c>
      <c r="AI34" s="176">
        <f t="shared" ref="AI34:AI39" si="37">AG34/$AG$41</f>
        <v>5.5215978927378929E-2</v>
      </c>
    </row>
    <row r="35" spans="1:35" x14ac:dyDescent="0.2">
      <c r="C35" s="134" t="s">
        <v>138</v>
      </c>
      <c r="D35" s="170">
        <f>SUMIF(Table13[Scope/Sub-Type],'INN Income Splits'!$A$25,Table13[agg_sub_type_Earned Income - Sponsorships/Underwriting])</f>
        <v>878004.1666666664</v>
      </c>
      <c r="E35" s="164">
        <f t="shared" si="34"/>
        <v>9.1227573114665117E-2</v>
      </c>
      <c r="F35" s="170">
        <f>AVERAGEIFS(Table13[agg_sub_type_Earned Income - Sponsorships/Underwriting],Table13[Scope/Sub-Type],$A$25,Table13[agg_sub_type_Earned Income - Sponsorships/Underwriting],"&gt;0")</f>
        <v>35120.166666666657</v>
      </c>
      <c r="G35" s="164">
        <f t="shared" si="35"/>
        <v>9.1227573114665117E-2</v>
      </c>
      <c r="H35" s="176">
        <f t="shared" ref="H35:H39" si="38">F35/$F$41</f>
        <v>3.222237982806192E-2</v>
      </c>
      <c r="L35" s="134" t="s">
        <v>138</v>
      </c>
      <c r="M35" s="170">
        <f>SUMIF(Table13[Scope/Sub-Type],'INN Income Splits'!$J$25,Table13[agg_sub_type_Earned Income - Sponsorships/Underwriting])</f>
        <v>4399855.7777777752</v>
      </c>
      <c r="N35" s="164">
        <f t="shared" ref="N35:N39" si="39">M35/$M$40</f>
        <v>0.24600662348157745</v>
      </c>
      <c r="O35" s="170">
        <f>AVERAGEIFS(Table13[agg_sub_type_Earned Income - Sponsorships/Underwriting],Table13[Scope/Sub-Type],$J$25,Table13[agg_sub_type_Earned Income - Sponsorships/Underwriting],"&gt;0")</f>
        <v>169225.22222222213</v>
      </c>
      <c r="P35" s="176">
        <f t="shared" ref="P35:P39" si="40">O35/$O$40</f>
        <v>0.24600662348157742</v>
      </c>
      <c r="Q35" s="176">
        <f t="shared" si="36"/>
        <v>7.4869154683245384E-2</v>
      </c>
      <c r="U35" s="134" t="s">
        <v>138</v>
      </c>
      <c r="V35" s="170">
        <f>SUMIF(Table13[Scope/Sub-Type],'INN Income Splits'!$S$25,Table13[agg_sub_type_Earned Income - Sponsorships/Underwriting])</f>
        <v>1040369</v>
      </c>
      <c r="W35" s="176">
        <f t="shared" ref="W35:W39" si="41">V35/$V$40</f>
        <v>0.17815239807253816</v>
      </c>
      <c r="X35" s="170">
        <f>AVERAGEIFS(Table13[agg_sub_type_Earned Income - Sponsorships/Underwriting],Table13[Scope/Sub-Type],$S$25,Table13[agg_sub_type_Earned Income - Sponsorships/Underwriting],"&gt;0")</f>
        <v>94579</v>
      </c>
      <c r="Y35" s="164">
        <f t="shared" ref="Y35:Y39" si="42">X35/$X$40</f>
        <v>0.17815239807253822</v>
      </c>
      <c r="Z35" s="176">
        <f t="shared" ref="Z35:Z39" si="43">X35/$X$41</f>
        <v>0.10502470901375353</v>
      </c>
      <c r="AD35" s="134" t="s">
        <v>138</v>
      </c>
      <c r="AE35" s="170">
        <f>SUMIF(Table13[Scope/Sub-Type],'INN Income Splits'!$AB$25,Table13[agg_sub_type_Earned Income - Sponsorships/Underwriting])</f>
        <v>4187406.6666666679</v>
      </c>
      <c r="AF35" s="176">
        <f t="shared" ref="AF35:AF39" si="44">AE35/$AE$40</f>
        <v>0.21350310674339121</v>
      </c>
      <c r="AG35" s="170">
        <f>AVERAGEIFS(Table13[agg_sub_type_Earned Income - Sponsorships/Underwriting],Table13[Scope/Sub-Type],$AB$25,Table13[agg_sub_type_Earned Income - Sponsorships/Underwriting],"&gt;0")</f>
        <v>209370.3333333334</v>
      </c>
      <c r="AH35" s="176">
        <f t="shared" ref="AH35:AH39" si="45">AG35/$AG$40</f>
        <v>0.21350310674339121</v>
      </c>
      <c r="AI35" s="176">
        <f t="shared" si="37"/>
        <v>6.4189912040287317E-2</v>
      </c>
    </row>
    <row r="36" spans="1:35" x14ac:dyDescent="0.2">
      <c r="C36" s="134" t="s">
        <v>139</v>
      </c>
      <c r="D36" s="170">
        <f>SUMIF(Table13[Scope/Sub-Type],'INN Income Splits'!$A$25,Table13[agg_sub_type_Earned Income - Subscriptions])</f>
        <v>5309475</v>
      </c>
      <c r="E36" s="164">
        <f t="shared" si="34"/>
        <v>0.55167223249280717</v>
      </c>
      <c r="F36" s="170">
        <f>AVERAGEIFS(Table13[agg_sub_type_Earned Income - Subscriptions],Table13[Scope/Sub-Type],$A$25,Table13[agg_sub_type_Earned Income - Subscriptions],"&gt;0")</f>
        <v>212379</v>
      </c>
      <c r="G36" s="164">
        <f t="shared" si="35"/>
        <v>0.55167223249280717</v>
      </c>
      <c r="H36" s="176">
        <f t="shared" si="38"/>
        <v>0.19485547635510359</v>
      </c>
      <c r="L36" s="134" t="s">
        <v>139</v>
      </c>
      <c r="M36" s="170">
        <f>SUMIF(Table13[Scope/Sub-Type],'INN Income Splits'!$J$25,Table13[agg_sub_type_Earned Income - Subscriptions])</f>
        <v>3896724</v>
      </c>
      <c r="N36" s="164">
        <f t="shared" si="39"/>
        <v>0.21787530371365815</v>
      </c>
      <c r="O36" s="170">
        <f>AVERAGEIFS(Table13[agg_sub_type_Earned Income - Subscriptions],Table13[Scope/Sub-Type],$J$25,Table13[agg_sub_type_Earned Income - Subscriptions],"&gt;0")</f>
        <v>149874</v>
      </c>
      <c r="P36" s="176">
        <f t="shared" si="40"/>
        <v>0.21787530371365812</v>
      </c>
      <c r="Q36" s="176">
        <f t="shared" si="36"/>
        <v>6.6307726127619884E-2</v>
      </c>
      <c r="U36" s="134" t="s">
        <v>139</v>
      </c>
      <c r="V36" s="170">
        <f>SUMIF(Table13[Scope/Sub-Type],'INN Income Splits'!$S$25,Table13[agg_sub_type_Earned Income - Subscriptions])</f>
        <v>2650956</v>
      </c>
      <c r="W36" s="176">
        <f t="shared" si="41"/>
        <v>0.45394871299008671</v>
      </c>
      <c r="X36" s="170">
        <f>AVERAGEIFS(Table13[agg_sub_type_Earned Income - Subscriptions],Table13[Scope/Sub-Type],$S$25,Table13[agg_sub_type_Earned Income - Subscriptions],"&gt;0")</f>
        <v>240996</v>
      </c>
      <c r="Y36" s="164">
        <f t="shared" si="42"/>
        <v>0.45394871299008677</v>
      </c>
      <c r="Z36" s="176">
        <f t="shared" si="43"/>
        <v>0.26761262831578414</v>
      </c>
      <c r="AD36" s="134" t="s">
        <v>139</v>
      </c>
      <c r="AE36" s="170">
        <f>SUMIF(Table13[Scope/Sub-Type],'INN Income Splits'!$AB$25,Table13[agg_sub_type_Earned Income - Subscriptions])</f>
        <v>5797323.333333334</v>
      </c>
      <c r="AF36" s="176">
        <f t="shared" si="44"/>
        <v>0.29558785209842342</v>
      </c>
      <c r="AG36" s="170">
        <f>AVERAGEIFS(Table13[agg_sub_type_Earned Income - Subscriptions],Table13[Scope/Sub-Type],$AB$25,Table13[agg_sub_type_Earned Income - Subscriptions],"&gt;0")</f>
        <v>289866.16666666669</v>
      </c>
      <c r="AH36" s="176">
        <f t="shared" si="45"/>
        <v>0.29558785209842342</v>
      </c>
      <c r="AI36" s="176">
        <f t="shared" si="37"/>
        <v>8.8868768777120244E-2</v>
      </c>
    </row>
    <row r="37" spans="1:35" x14ac:dyDescent="0.2">
      <c r="C37" s="134" t="s">
        <v>140</v>
      </c>
      <c r="D37" s="170">
        <f>SUMIF(Table13[Scope/Sub-Type],'INN Income Splits'!$A$25,Table13[agg_sub_type_Earned Income - Events])</f>
        <v>567875</v>
      </c>
      <c r="E37" s="164">
        <f t="shared" si="34"/>
        <v>5.9004114159470163E-2</v>
      </c>
      <c r="F37" s="170">
        <f>AVERAGEIFS(Table13[agg_sub_type_Earned Income - Events],Table13[Scope/Sub-Type],$A$25,Table13[agg_sub_type_Earned Income - Events],"&gt;0")</f>
        <v>22715</v>
      </c>
      <c r="G37" s="164">
        <f t="shared" si="35"/>
        <v>5.900411415947017E-2</v>
      </c>
      <c r="H37" s="176">
        <f t="shared" si="38"/>
        <v>2.0840771193979528E-2</v>
      </c>
      <c r="L37" s="134" t="s">
        <v>140</v>
      </c>
      <c r="M37" s="170">
        <f>SUMIF(Table13[Scope/Sub-Type],'INN Income Splits'!$J$25,Table13[agg_sub_type_Earned Income - Events])</f>
        <v>5956852.7488888921</v>
      </c>
      <c r="N37" s="164">
        <f t="shared" si="39"/>
        <v>0.33306210597458452</v>
      </c>
      <c r="O37" s="170">
        <f>AVERAGEIFS(Table13[agg_sub_type_Earned Income - Events],Table13[Scope/Sub-Type],$J$25,Table13[agg_sub_type_Earned Income - Events],"&gt;0")</f>
        <v>229109.72111111123</v>
      </c>
      <c r="P37" s="176">
        <f t="shared" si="40"/>
        <v>0.33306210597458447</v>
      </c>
      <c r="Q37" s="176">
        <f t="shared" si="36"/>
        <v>0.10136344289610563</v>
      </c>
      <c r="U37" s="134" t="s">
        <v>140</v>
      </c>
      <c r="V37" s="170">
        <f>SUMIF(Table13[Scope/Sub-Type],'INN Income Splits'!$S$25,Table13[agg_sub_type_Earned Income - Events])</f>
        <v>84593.666666666657</v>
      </c>
      <c r="W37" s="176">
        <f t="shared" si="41"/>
        <v>1.4485787810301539E-2</v>
      </c>
      <c r="X37" s="170">
        <f>AVERAGEIFS(Table13[agg_sub_type_Earned Income - Events],Table13[Scope/Sub-Type],$S$25,Table13[agg_sub_type_Earned Income - Events],"&gt;0")</f>
        <v>7690.3333333333321</v>
      </c>
      <c r="Y37" s="164">
        <f t="shared" si="42"/>
        <v>1.4485787810301541E-2</v>
      </c>
      <c r="Z37" s="176">
        <f t="shared" si="43"/>
        <v>8.5396866170302337E-3</v>
      </c>
      <c r="AD37" s="134" t="s">
        <v>140</v>
      </c>
      <c r="AE37" s="170">
        <f>SUMIF(Table13[Scope/Sub-Type],'INN Income Splits'!$AB$25,Table13[agg_sub_type_Earned Income - Events])</f>
        <v>1761493.3333333337</v>
      </c>
      <c r="AF37" s="176">
        <f t="shared" si="44"/>
        <v>8.9813177728404359E-2</v>
      </c>
      <c r="AG37" s="170">
        <f>AVERAGEIFS(Table13[agg_sub_type_Earned Income - Events],Table13[Scope/Sub-Type],$AB$25,Table13[agg_sub_type_Earned Income - Events],"&gt;0")</f>
        <v>88074.666666666686</v>
      </c>
      <c r="AH37" s="176">
        <f t="shared" si="45"/>
        <v>8.9813177728404359E-2</v>
      </c>
      <c r="AI37" s="176">
        <f t="shared" si="37"/>
        <v>2.7002417278049379E-2</v>
      </c>
    </row>
    <row r="38" spans="1:35" x14ac:dyDescent="0.2">
      <c r="C38" s="134" t="s">
        <v>251</v>
      </c>
      <c r="D38" s="170">
        <f>SUMIF(Table13[Scope/Sub-Type],'INN Income Splits'!$A$25,Table13[agg_sub_type_Earned Income - Syndication])</f>
        <v>1049125</v>
      </c>
      <c r="E38" s="164">
        <f t="shared" si="34"/>
        <v>0.10900760073529234</v>
      </c>
      <c r="F38" s="170">
        <f>AVERAGEIFS(Table13[agg_sub_type_Earned Income - Syndication],Table13[Scope/Sub-Type],$A$25,Table13[agg_sub_type_Earned Income - Syndication],"&gt;0")</f>
        <v>41965</v>
      </c>
      <c r="G38" s="164">
        <f t="shared" si="35"/>
        <v>0.10900760073529234</v>
      </c>
      <c r="H38" s="176">
        <f t="shared" si="38"/>
        <v>3.8502441697352008E-2</v>
      </c>
      <c r="L38" s="134" t="s">
        <v>251</v>
      </c>
      <c r="M38" s="170">
        <f>SUMIF(Table13[Scope/Sub-Type],'INN Income Splits'!$J$25,Table13[agg_sub_type_Earned Income - Syndication])</f>
        <v>1219150.4000000001</v>
      </c>
      <c r="N38" s="164">
        <f t="shared" si="39"/>
        <v>6.8165660096180247E-2</v>
      </c>
      <c r="O38" s="170">
        <f>AVERAGEIFS(Table13[agg_sub_type_Earned Income - Syndication],Table13[Scope/Sub-Type],$J$25,Table13[agg_sub_type_Earned Income - Syndication],"&gt;0")</f>
        <v>46890.400000000009</v>
      </c>
      <c r="P38" s="176">
        <f t="shared" si="40"/>
        <v>6.8165660096180233E-2</v>
      </c>
      <c r="Q38" s="176">
        <f t="shared" si="36"/>
        <v>2.0745398142536717E-2</v>
      </c>
      <c r="U38" s="134" t="s">
        <v>251</v>
      </c>
      <c r="V38" s="170">
        <f>SUMIF(Table13[Scope/Sub-Type],'INN Income Splits'!$S$25,Table13[agg_sub_type_Earned Income - Syndication])</f>
        <v>55000</v>
      </c>
      <c r="W38" s="176">
        <f t="shared" si="41"/>
        <v>9.4181794094110836E-3</v>
      </c>
      <c r="X38" s="170">
        <f>AVERAGEIFS(Table13[agg_sub_type_Earned Income - Syndication],Table13[Scope/Sub-Type],$S$25,Table13[agg_sub_type_Earned Income - Syndication],"&gt;0")</f>
        <v>5000</v>
      </c>
      <c r="Y38" s="164">
        <f t="shared" si="42"/>
        <v>9.4181794094110854E-3</v>
      </c>
      <c r="Z38" s="176">
        <f t="shared" si="43"/>
        <v>5.5522213712215999E-3</v>
      </c>
      <c r="AD38" s="134" t="s">
        <v>251</v>
      </c>
      <c r="AE38" s="170">
        <f>SUMIF(Table13[Scope/Sub-Type],'INN Income Splits'!$AB$25,Table13[agg_sub_type_Earned Income - Syndication])</f>
        <v>377460</v>
      </c>
      <c r="AF38" s="176">
        <f t="shared" si="44"/>
        <v>1.924553526479247E-2</v>
      </c>
      <c r="AG38" s="170">
        <f>AVERAGEIFS(Table13[agg_sub_type_Earned Income - Syndication],Table13[Scope/Sub-Type],$AB$25,Table13[agg_sub_type_Earned Income - Syndication],"&gt;0")</f>
        <v>18873</v>
      </c>
      <c r="AH38" s="176">
        <f t="shared" si="45"/>
        <v>1.924553526479247E-2</v>
      </c>
      <c r="AI38" s="176">
        <f t="shared" si="37"/>
        <v>5.7861884759366194E-3</v>
      </c>
    </row>
    <row r="39" spans="1:35" x14ac:dyDescent="0.2">
      <c r="B39" s="137"/>
      <c r="C39" s="137" t="s">
        <v>248</v>
      </c>
      <c r="D39" s="181">
        <f>SUMIF(Table13[Scope/Sub-Type],'INN Income Splits'!$A$25,Table13[agg_sub_type_Earned Income - Other])</f>
        <v>1424480.2142857146</v>
      </c>
      <c r="E39" s="182">
        <f t="shared" si="34"/>
        <v>0.14800826446246237</v>
      </c>
      <c r="F39" s="181">
        <f>AVERAGEIFS(Table13[agg_sub_type_Earned Income - Other],Table13[Scope/Sub-Type],$A$25,Table13[agg_sub_type_Earned Income - Other],"&gt;0")</f>
        <v>56979.208571428579</v>
      </c>
      <c r="G39" s="182">
        <f t="shared" si="35"/>
        <v>0.14800826446246237</v>
      </c>
      <c r="H39" s="182">
        <f t="shared" si="38"/>
        <v>5.2277818562675771E-2</v>
      </c>
      <c r="K39" s="137"/>
      <c r="L39" s="137" t="s">
        <v>248</v>
      </c>
      <c r="M39" s="181">
        <f>SUMIF(Table13[Scope/Sub-Type],'INN Income Splits'!$J$25,Table13[agg_sub_type_Earned Income - Other])</f>
        <v>467717.7142857142</v>
      </c>
      <c r="N39" s="182">
        <f t="shared" si="39"/>
        <v>2.6151233459762092E-2</v>
      </c>
      <c r="O39" s="181">
        <f>AVERAGEIFS(Table13[agg_sub_type_Earned Income - Other],Table13[Scope/Sub-Type],$J$25,Table13[agg_sub_type_Earned Income - Other],"&gt;0")</f>
        <v>17989.142857142855</v>
      </c>
      <c r="P39" s="182">
        <f t="shared" si="40"/>
        <v>2.6151233459762089E-2</v>
      </c>
      <c r="Q39" s="176">
        <f t="shared" si="36"/>
        <v>7.9588131219695078E-3</v>
      </c>
      <c r="T39" s="137"/>
      <c r="U39" s="137" t="s">
        <v>248</v>
      </c>
      <c r="V39" s="181">
        <f>SUMIF(Table13[Scope/Sub-Type],'INN Income Splits'!$S$25,Table13[agg_sub_type_Earned Income - Other])</f>
        <v>808613.66666666674</v>
      </c>
      <c r="W39" s="182">
        <f t="shared" si="41"/>
        <v>0.13846670155578905</v>
      </c>
      <c r="X39" s="181">
        <f>AVERAGEIFS(Table13[agg_sub_type_Earned Income - Other],Table13[Scope/Sub-Type],$S$25,Table13[agg_sub_type_Earned Income - Other],"&gt;0")</f>
        <v>73510.333333333343</v>
      </c>
      <c r="Y39" s="182">
        <f t="shared" si="42"/>
        <v>0.13846670155578908</v>
      </c>
      <c r="Z39" s="182">
        <f t="shared" si="43"/>
        <v>8.162912874779138E-2</v>
      </c>
      <c r="AC39" s="137"/>
      <c r="AD39" s="137" t="s">
        <v>248</v>
      </c>
      <c r="AE39" s="181">
        <f>SUMIF(Table13[Scope/Sub-Type],'INN Income Splits'!$AB$25,Table13[agg_sub_type_Earned Income - Other])</f>
        <v>3887182.0000000014</v>
      </c>
      <c r="AF39" s="182">
        <f t="shared" si="44"/>
        <v>0.19819556578621986</v>
      </c>
      <c r="AG39" s="181">
        <f>AVERAGEIFS(Table13[agg_sub_type_Earned Income - Other],Table13[Scope/Sub-Type],$AB$25,Table13[agg_sub_type_Earned Income - Other],"&gt;0")</f>
        <v>194359.10000000006</v>
      </c>
      <c r="AH39" s="182">
        <f t="shared" si="45"/>
        <v>0.19819556578621986</v>
      </c>
      <c r="AI39" s="182">
        <f t="shared" si="37"/>
        <v>5.9587685297165974E-2</v>
      </c>
    </row>
    <row r="40" spans="1:35" ht="12.75" thickBot="1" x14ac:dyDescent="0.25">
      <c r="B40" s="211"/>
      <c r="C40" s="211" t="s">
        <v>60</v>
      </c>
      <c r="D40" s="212">
        <f>SUM(D34:D39)</f>
        <v>9624328.8809523806</v>
      </c>
      <c r="E40" s="213">
        <f t="shared" ref="E40" si="46">SUM(E34:E39)</f>
        <v>1</v>
      </c>
      <c r="F40" s="212">
        <f>SUM(F34:F39)</f>
        <v>384973.15523809521</v>
      </c>
      <c r="G40" s="214">
        <f>SUM(G34:G39)</f>
        <v>1</v>
      </c>
      <c r="H40" s="213">
        <f>SUM(H34:H39)</f>
        <v>0.35320878028357933</v>
      </c>
      <c r="K40" s="211"/>
      <c r="L40" s="211" t="s">
        <v>60</v>
      </c>
      <c r="M40" s="212">
        <f>SUM(M34:M39)</f>
        <v>17885111.040952377</v>
      </c>
      <c r="N40" s="213">
        <f t="shared" ref="N40" si="47">SUM(N34:N39)</f>
        <v>1.0000000000000002</v>
      </c>
      <c r="O40" s="212">
        <f>SUM(O34:O39)</f>
        <v>687888.88619047613</v>
      </c>
      <c r="P40" s="214">
        <f>SUM(P34:P39)</f>
        <v>1</v>
      </c>
      <c r="Q40" s="213">
        <f>SUM(Q34:Q39)</f>
        <v>0.30433796303395905</v>
      </c>
      <c r="T40" s="211"/>
      <c r="U40" s="211" t="s">
        <v>60</v>
      </c>
      <c r="V40" s="212">
        <f>SUM(V34:V39)</f>
        <v>5839769.833333334</v>
      </c>
      <c r="W40" s="213">
        <f t="shared" ref="W40" si="48">SUM(W34:W39)</f>
        <v>0.99999999999999978</v>
      </c>
      <c r="X40" s="212">
        <f>SUM(X34:X39)</f>
        <v>530888.16666666663</v>
      </c>
      <c r="Y40" s="214">
        <f>SUM(Y34:Y39)</f>
        <v>1</v>
      </c>
      <c r="Z40" s="213">
        <f>SUM(Z34:Z39)</f>
        <v>0.58952172493906418</v>
      </c>
      <c r="AC40" s="211"/>
      <c r="AD40" s="211" t="s">
        <v>60</v>
      </c>
      <c r="AE40" s="212">
        <f>SUM(AE34:AE39)</f>
        <v>19612860.58333334</v>
      </c>
      <c r="AF40" s="213">
        <f t="shared" ref="AF40" si="49">SUM(AF34:AF39)</f>
        <v>0.99999999999999989</v>
      </c>
      <c r="AG40" s="212">
        <f>SUM(AG34:AG39)</f>
        <v>980643.02916666702</v>
      </c>
      <c r="AH40" s="214">
        <f>SUM(AH34:AH39)</f>
        <v>0.99999999999999989</v>
      </c>
      <c r="AI40" s="213">
        <f>SUM(AI34:AI39)</f>
        <v>0.30065095079593845</v>
      </c>
    </row>
    <row r="41" spans="1:35" s="133" customFormat="1" ht="12.75" thickTop="1" x14ac:dyDescent="0.2">
      <c r="B41" s="133" t="s">
        <v>60</v>
      </c>
      <c r="D41" s="201">
        <f>D32+D40</f>
        <v>27248271.895238094</v>
      </c>
      <c r="E41" s="165"/>
      <c r="F41" s="201">
        <f>F32+F40</f>
        <v>1089930.8758095237</v>
      </c>
      <c r="G41" s="215"/>
      <c r="H41" s="165">
        <f>H40+H32</f>
        <v>0.99999999999999978</v>
      </c>
      <c r="K41" s="133" t="s">
        <v>60</v>
      </c>
      <c r="M41" s="201">
        <f>M32+M40</f>
        <v>58767269.329974122</v>
      </c>
      <c r="N41" s="165"/>
      <c r="O41" s="201"/>
      <c r="P41" s="215"/>
      <c r="Q41" s="165">
        <f>Q40+Q32</f>
        <v>1</v>
      </c>
      <c r="T41" s="133" t="s">
        <v>60</v>
      </c>
      <c r="V41" s="201">
        <f>V32+V40</f>
        <v>9905945.0844444446</v>
      </c>
      <c r="W41" s="165"/>
      <c r="X41" s="201">
        <f>X32+X40</f>
        <v>900540.46222222224</v>
      </c>
      <c r="Y41" s="215"/>
      <c r="Z41" s="165">
        <f>Z40+Z32</f>
        <v>1</v>
      </c>
      <c r="AC41" s="133" t="s">
        <v>60</v>
      </c>
      <c r="AE41" s="201">
        <f>AE32+AE40</f>
        <v>65234653.44583334</v>
      </c>
      <c r="AF41" s="165"/>
      <c r="AG41" s="201">
        <f>AG32+AG40</f>
        <v>3261732.6722916672</v>
      </c>
      <c r="AH41" s="215"/>
      <c r="AI41" s="165">
        <f>AI40+AI32</f>
        <v>0.99999999999999978</v>
      </c>
    </row>
    <row r="43" spans="1:35" x14ac:dyDescent="0.2">
      <c r="A43" s="217" t="s">
        <v>122</v>
      </c>
      <c r="B43" s="218"/>
      <c r="C43" s="218"/>
      <c r="D43" s="218"/>
      <c r="E43" s="218"/>
      <c r="F43" s="218"/>
      <c r="G43" s="218"/>
      <c r="H43" s="218"/>
      <c r="J43" s="217" t="s">
        <v>125</v>
      </c>
      <c r="K43" s="218"/>
      <c r="L43" s="218"/>
      <c r="M43" s="218"/>
      <c r="N43" s="218"/>
      <c r="O43" s="218"/>
      <c r="P43" s="218"/>
      <c r="Q43" s="218"/>
      <c r="S43" s="217" t="s">
        <v>128</v>
      </c>
      <c r="T43" s="218"/>
      <c r="U43" s="218"/>
      <c r="V43" s="218"/>
      <c r="W43" s="218"/>
      <c r="X43" s="218"/>
      <c r="Y43" s="218"/>
      <c r="Z43" s="218"/>
      <c r="AB43" s="217" t="s">
        <v>131</v>
      </c>
      <c r="AC43" s="218"/>
      <c r="AD43" s="218"/>
      <c r="AE43" s="218"/>
      <c r="AF43" s="218"/>
      <c r="AG43" s="218"/>
      <c r="AH43" s="218"/>
      <c r="AI43" s="218"/>
    </row>
    <row r="44" spans="1:35" ht="24" x14ac:dyDescent="0.2">
      <c r="A44" s="166"/>
      <c r="B44" s="166"/>
      <c r="C44" s="166"/>
      <c r="D44" s="166" t="s">
        <v>269</v>
      </c>
      <c r="E44" s="166" t="s">
        <v>282</v>
      </c>
      <c r="F44" s="166" t="s">
        <v>283</v>
      </c>
      <c r="G44" s="166" t="s">
        <v>284</v>
      </c>
      <c r="H44" s="166" t="s">
        <v>285</v>
      </c>
      <c r="J44" s="166"/>
      <c r="K44" s="166"/>
      <c r="L44" s="166"/>
      <c r="M44" s="166" t="s">
        <v>269</v>
      </c>
      <c r="N44" s="166" t="s">
        <v>282</v>
      </c>
      <c r="O44" s="166" t="s">
        <v>283</v>
      </c>
      <c r="P44" s="166" t="s">
        <v>284</v>
      </c>
      <c r="Q44" s="166" t="s">
        <v>285</v>
      </c>
      <c r="S44" s="166"/>
      <c r="T44" s="166"/>
      <c r="U44" s="166"/>
      <c r="V44" s="166" t="s">
        <v>269</v>
      </c>
      <c r="W44" s="166" t="s">
        <v>282</v>
      </c>
      <c r="X44" s="166" t="s">
        <v>283</v>
      </c>
      <c r="Y44" s="166" t="s">
        <v>284</v>
      </c>
      <c r="Z44" s="166" t="s">
        <v>285</v>
      </c>
      <c r="AB44" s="166"/>
      <c r="AC44" s="166"/>
      <c r="AD44" s="166"/>
      <c r="AE44" s="166" t="s">
        <v>269</v>
      </c>
      <c r="AF44" s="166" t="s">
        <v>282</v>
      </c>
      <c r="AG44" s="166" t="s">
        <v>283</v>
      </c>
      <c r="AH44" s="166" t="s">
        <v>284</v>
      </c>
      <c r="AI44" s="166" t="s">
        <v>285</v>
      </c>
    </row>
    <row r="45" spans="1:35" x14ac:dyDescent="0.2">
      <c r="B45" s="134" t="s">
        <v>246</v>
      </c>
      <c r="D45" s="170"/>
      <c r="K45" s="134" t="s">
        <v>246</v>
      </c>
      <c r="M45" s="170"/>
      <c r="T45" s="134" t="s">
        <v>246</v>
      </c>
      <c r="V45" s="170"/>
      <c r="AC45" s="134" t="s">
        <v>246</v>
      </c>
      <c r="AE45" s="170"/>
    </row>
    <row r="46" spans="1:35" x14ac:dyDescent="0.2">
      <c r="C46" s="134" t="s">
        <v>134</v>
      </c>
      <c r="D46" s="170">
        <f>SUMIF(Table13[Scope/Sub-Type],'INN Income Splits'!A43,Table13[agg_sub_type_Cont. Income - Foundations])</f>
        <v>932283.8</v>
      </c>
      <c r="E46" s="164">
        <f>D46/D50</f>
        <v>0.29041683959137615</v>
      </c>
      <c r="F46" s="170">
        <f>AVERAGEIFS(Table13[agg_sub_type_Cont. Income - Foundations],Table13[Scope/Sub-Type],A43,Table13[agg_sub_type_Cont. Income - Foundations],"&gt;0")</f>
        <v>133183.4</v>
      </c>
      <c r="G46" s="164">
        <f>F46/$F50</f>
        <v>0.2904168395913761</v>
      </c>
      <c r="H46" s="176">
        <f>F46/$F$59</f>
        <v>0.17819372341972736</v>
      </c>
      <c r="L46" s="134" t="s">
        <v>134</v>
      </c>
      <c r="M46" s="170">
        <f>SUMIF(Table13[Scope/Sub-Type],'INN Income Splits'!J43,Table13[agg_sub_type_Cont. Income - Foundations])</f>
        <v>6135226.2857142845</v>
      </c>
      <c r="N46" s="164">
        <f>M46/M50</f>
        <v>0.8420367785605275</v>
      </c>
      <c r="O46" s="170">
        <f>AVERAGEIFS(Table13[agg_sub_type_Cont. Income - Foundations],Table13[Scope/Sub-Type],J43,Table13[agg_sub_type_Cont. Income - Foundations],"&gt;0")</f>
        <v>766903.28571428556</v>
      </c>
      <c r="P46" s="176">
        <f>O46/$O$50</f>
        <v>0.8420367785605275</v>
      </c>
      <c r="Q46" s="176">
        <f>M46/$M$59</f>
        <v>0.75719913464370558</v>
      </c>
      <c r="U46" s="134" t="s">
        <v>134</v>
      </c>
      <c r="V46" s="170">
        <f>SUMIF(Table13[Scope/Sub-Type],'INN Income Splits'!S43,Table13[agg_sub_type_Cont. Income - Foundations])</f>
        <v>2836852</v>
      </c>
      <c r="W46" s="164">
        <f>V46/V50</f>
        <v>0.51542790074295708</v>
      </c>
      <c r="X46" s="170">
        <f>AVERAGEIFS(Table13[agg_sub_type_Cont. Income - Foundations],Table13[Scope/Sub-Type],S43,Table13[agg_sub_type_Cont. Income - Foundations],"&gt;0")</f>
        <v>354606.5</v>
      </c>
      <c r="Y46" s="176">
        <f>X46/$X$50</f>
        <v>0.51542790074295708</v>
      </c>
      <c r="Z46" s="176">
        <f>X46/$X$59</f>
        <v>0.46122464208223718</v>
      </c>
      <c r="AD46" s="134" t="s">
        <v>134</v>
      </c>
      <c r="AE46" s="170">
        <f>SUMIF(Table13[Scope/Sub-Type],'INN Income Splits'!AB43,Table13[agg_sub_type_Cont. Income - Foundations])</f>
        <v>33455224.646666657</v>
      </c>
      <c r="AF46" s="164">
        <f>AE46/AE50</f>
        <v>0.46087382093209095</v>
      </c>
      <c r="AG46" s="170">
        <f>AVERAGEIFS(Table13[agg_sub_type_Cont. Income - Foundations],Table13[Scope/Sub-Type],AB43,Table13[agg_sub_type_Cont. Income - Foundations],"&gt;0")</f>
        <v>1593105.9355555552</v>
      </c>
      <c r="AH46" s="176">
        <f>AG46/$AG$50</f>
        <v>0.46087382093209095</v>
      </c>
      <c r="AI46" s="164">
        <f>AG46/$AG$59</f>
        <v>0.40778129187873191</v>
      </c>
    </row>
    <row r="47" spans="1:35" x14ac:dyDescent="0.2">
      <c r="C47" s="134" t="s">
        <v>135</v>
      </c>
      <c r="D47" s="170">
        <f>SUMIF(Table13[Scope/Sub-Type],'INN Income Splits'!A43,Table13[agg_sub_type_Cont. Income - Membership])</f>
        <v>52799.693333333336</v>
      </c>
      <c r="E47" s="164">
        <f>D47/D50</f>
        <v>1.6447695507806226E-2</v>
      </c>
      <c r="F47" s="170">
        <f>AVERAGEIFS(Table13[agg_sub_type_Cont. Income - Membership],Table13[Scope/Sub-Type],$A43,Table13[agg_sub_type_Cont. Income - Membership],"&gt;0")</f>
        <v>7542.8133333333335</v>
      </c>
      <c r="G47" s="164">
        <f>F47/$F50</f>
        <v>1.6447695507806226E-2</v>
      </c>
      <c r="H47" s="176">
        <f t="shared" ref="H47:H49" si="50">F47/$F$59</f>
        <v>1.0091963359747776E-2</v>
      </c>
      <c r="L47" s="134" t="s">
        <v>135</v>
      </c>
      <c r="M47" s="170">
        <f>SUMIF(Table13[Scope/Sub-Type],'INN Income Splits'!J43,Table13[agg_sub_type_Cont. Income - Membership])</f>
        <v>17760</v>
      </c>
      <c r="N47" s="164">
        <f>M47/M50</f>
        <v>2.4374933361555554E-3</v>
      </c>
      <c r="O47" s="170">
        <f>AVERAGEIFS(Table13[agg_sub_type_Cont. Income - Membership],Table13[Scope/Sub-Type],$J43,Table13[agg_sub_type_Cont. Income - Membership],"&gt;0")</f>
        <v>2220</v>
      </c>
      <c r="P47" s="176">
        <f t="shared" ref="P47:P49" si="51">O47/$O$50</f>
        <v>2.4374933361555554E-3</v>
      </c>
      <c r="Q47" s="176">
        <f>M47/$M$59</f>
        <v>2.191908823735678E-3</v>
      </c>
      <c r="U47" s="134" t="s">
        <v>135</v>
      </c>
      <c r="V47" s="170">
        <f>SUMIF(Table13[Scope/Sub-Type],'INN Income Splits'!S43,Table13[agg_sub_type_Cont. Income - Membership])</f>
        <v>1872400</v>
      </c>
      <c r="W47" s="164">
        <f>V47/V50</f>
        <v>0.34019652817669477</v>
      </c>
      <c r="X47" s="170">
        <f>AVERAGEIFS(Table13[agg_sub_type_Cont. Income - Membership],Table13[Scope/Sub-Type],$S43,Table13[agg_sub_type_Cont. Income - Membership],"&gt;0")</f>
        <v>234050</v>
      </c>
      <c r="Y47" s="176">
        <f t="shared" ref="Y47:Y49" si="52">X47/$X$50</f>
        <v>0.34019652817669477</v>
      </c>
      <c r="Z47" s="176">
        <f t="shared" ref="Z47:Z49" si="53">X47/$X$59</f>
        <v>0.30442089324179794</v>
      </c>
      <c r="AD47" s="134" t="s">
        <v>135</v>
      </c>
      <c r="AE47" s="170">
        <f>SUMIF(Table13[Scope/Sub-Type],'INN Income Splits'!AB43,Table13[agg_sub_type_Cont. Income - Membership])</f>
        <v>2615478.337499999</v>
      </c>
      <c r="AF47" s="164">
        <f>AE47/AE50</f>
        <v>3.6030411025467113E-2</v>
      </c>
      <c r="AG47" s="170">
        <f>AVERAGEIFS(Table13[agg_sub_type_Cont. Income - Membership],Table13[Scope/Sub-Type],$AB43,Table13[agg_sub_type_Cont. Income - Membership],"&gt;0")</f>
        <v>124546.58749999995</v>
      </c>
      <c r="AH47" s="176">
        <f t="shared" ref="AH47:AH49" si="54">AG47/$AG$50</f>
        <v>3.6030411025467113E-2</v>
      </c>
      <c r="AI47" s="164">
        <f t="shared" ref="AI47:AI49" si="55">AG47/$AG$59</f>
        <v>3.1879718238653453E-2</v>
      </c>
    </row>
    <row r="48" spans="1:35" x14ac:dyDescent="0.2">
      <c r="C48" s="134" t="s">
        <v>247</v>
      </c>
      <c r="D48" s="170">
        <f>SUMIF(Table13[Scope/Sub-Type],'INN Income Splits'!A43,Table13[agg_sub_type_Total Individual Donations])</f>
        <v>1352738.6880000001</v>
      </c>
      <c r="E48" s="164">
        <f>D48/D50</f>
        <v>0.42139324373323295</v>
      </c>
      <c r="F48" s="170">
        <f>AVERAGEIFS(Table13[agg_sub_type_Total Individual Donations],Table13[Scope/Sub-Type],$A43,Table13[agg_sub_type_Total Individual Donations],"&gt;0")</f>
        <v>193248.38400000002</v>
      </c>
      <c r="G48" s="164">
        <f>F48/$F50</f>
        <v>0.42139324373323295</v>
      </c>
      <c r="H48" s="176">
        <f t="shared" si="50"/>
        <v>0.258558116775854</v>
      </c>
      <c r="L48" s="134" t="s">
        <v>247</v>
      </c>
      <c r="M48" s="170">
        <f>SUMIF(Table13[Scope/Sub-Type],'INN Income Splits'!J43,Table13[agg_sub_type_Total Individual Donations])</f>
        <v>1133187.4800000002</v>
      </c>
      <c r="N48" s="164">
        <f>M48/M50</f>
        <v>0.15552572810331686</v>
      </c>
      <c r="O48" s="170">
        <f>AVERAGEIFS(Table13[agg_sub_type_Total Individual Donations],Table13[Scope/Sub-Type],$J43,Table13[agg_sub_type_Total Individual Donations],"&gt;0")</f>
        <v>141648.43500000003</v>
      </c>
      <c r="P48" s="176">
        <f t="shared" si="51"/>
        <v>0.15552572810331686</v>
      </c>
      <c r="Q48" s="176">
        <f>M48/$M$59</f>
        <v>0.13985606060578817</v>
      </c>
      <c r="U48" s="134" t="s">
        <v>247</v>
      </c>
      <c r="V48" s="170">
        <f>SUMIF(Table13[Scope/Sub-Type],'INN Income Splits'!S43,Table13[agg_sub_type_Total Individual Donations])</f>
        <v>770625.45000000007</v>
      </c>
      <c r="W48" s="164">
        <f>V48/V50</f>
        <v>0.14001500887342613</v>
      </c>
      <c r="X48" s="170">
        <f>AVERAGEIFS(Table13[agg_sub_type_Total Individual Donations],Table13[Scope/Sub-Type],$S43,Table13[agg_sub_type_Total Individual Donations],"&gt;0")</f>
        <v>96328.181250000009</v>
      </c>
      <c r="Y48" s="176">
        <f t="shared" si="52"/>
        <v>0.14001500887342613</v>
      </c>
      <c r="Z48" s="176">
        <f t="shared" si="53"/>
        <v>0.12529079675489346</v>
      </c>
      <c r="AD48" s="134" t="s">
        <v>247</v>
      </c>
      <c r="AE48" s="170">
        <f>SUMIF(Table13[Scope/Sub-Type],'INN Income Splits'!AB43,Table13[agg_sub_type_Total Individual Donations])</f>
        <v>34467008.131500006</v>
      </c>
      <c r="AF48" s="164">
        <f>AE48/AE50</f>
        <v>0.47481198830462995</v>
      </c>
      <c r="AG48" s="170">
        <f>AVERAGEIFS(Table13[agg_sub_type_Total Individual Donations],Table13[Scope/Sub-Type],$AB43,Table13[agg_sub_type_Total Individual Donations],"&gt;0")</f>
        <v>1641286.1015000003</v>
      </c>
      <c r="AH48" s="176">
        <f t="shared" si="54"/>
        <v>0.47481198830462995</v>
      </c>
      <c r="AI48" s="164">
        <f t="shared" si="55"/>
        <v>0.42011378645631703</v>
      </c>
    </row>
    <row r="49" spans="1:35" x14ac:dyDescent="0.2">
      <c r="B49" s="137"/>
      <c r="C49" s="137" t="s">
        <v>248</v>
      </c>
      <c r="D49" s="181">
        <f>SUMIF(Table13[Scope/Sub-Type],'INN Income Splits'!A43,Table13[agg_sub_type_Cont. Income - Other])</f>
        <v>872335.33333333337</v>
      </c>
      <c r="E49" s="182">
        <f>D49/D50</f>
        <v>0.27174222116758467</v>
      </c>
      <c r="F49" s="181">
        <f>AVERAGEIFS(Table13[agg_sub_type_Cont. Income - Other],Table13[Scope/Sub-Type],$A43,Table13[agg_sub_type_Cont. Income - Other],"&gt;0")</f>
        <v>124619.33333333334</v>
      </c>
      <c r="G49" s="182">
        <f>F49/$F50</f>
        <v>0.27174222116758467</v>
      </c>
      <c r="H49" s="182">
        <f t="shared" si="50"/>
        <v>0.16673536654531132</v>
      </c>
      <c r="K49" s="137"/>
      <c r="L49" s="137" t="s">
        <v>248</v>
      </c>
      <c r="M49" s="181">
        <f>SUMIF(Table13[Scope/Sub-Type],'INN Income Splits'!J43,Table13[agg_sub_type_Cont. Income - Other])</f>
        <v>0</v>
      </c>
      <c r="N49" s="182">
        <f>M49/M50</f>
        <v>0</v>
      </c>
      <c r="O49" s="181">
        <f>IFERROR(AVERAGEIFS(Table13[agg_sub_type_Cont. Income - Other],Table13[Scope/Sub-Type],$J43,Table13[agg_sub_type_Cont. Income - Other],"&gt;0"),0)</f>
        <v>0</v>
      </c>
      <c r="P49" s="182">
        <f t="shared" si="51"/>
        <v>0</v>
      </c>
      <c r="Q49" s="182">
        <f>M49/$M$59</f>
        <v>0</v>
      </c>
      <c r="T49" s="137"/>
      <c r="U49" s="137" t="s">
        <v>248</v>
      </c>
      <c r="V49" s="181">
        <f>SUMIF(Table13[Scope/Sub-Type],'INN Income Splits'!S43,Table13[agg_sub_type_Cont. Income - Other])</f>
        <v>24000</v>
      </c>
      <c r="W49" s="182">
        <f>V49/V50</f>
        <v>4.360562206921958E-3</v>
      </c>
      <c r="X49" s="181">
        <f>AVERAGEIFS(Table13[agg_sub_type_Cont. Income - Other],Table13[Scope/Sub-Type],$S43,Table13[agg_sub_type_Cont. Income - Other],"&gt;0")</f>
        <v>3000</v>
      </c>
      <c r="Y49" s="182">
        <f t="shared" si="52"/>
        <v>4.360562206921958E-3</v>
      </c>
      <c r="Z49" s="182">
        <f t="shared" si="53"/>
        <v>3.9019982043383625E-3</v>
      </c>
      <c r="AC49" s="137"/>
      <c r="AD49" s="137" t="s">
        <v>248</v>
      </c>
      <c r="AE49" s="181">
        <f>SUMIF(Table13[Scope/Sub-Type],'INN Income Splits'!AB43,Table13[agg_sub_type_Cont. Income - Other])</f>
        <v>2053143.75</v>
      </c>
      <c r="AF49" s="182">
        <f>AE49/AE50</f>
        <v>2.8283779737812081E-2</v>
      </c>
      <c r="AG49" s="181">
        <f>AVERAGEIFS(Table13[agg_sub_type_Cont. Income - Other],Table13[Scope/Sub-Type],$AB43,Table13[agg_sub_type_Cont. Income - Other],"&gt;0")</f>
        <v>97768.75</v>
      </c>
      <c r="AH49" s="182">
        <f t="shared" si="54"/>
        <v>2.8283779737812077E-2</v>
      </c>
      <c r="AI49" s="182">
        <f t="shared" si="55"/>
        <v>2.5025496604195206E-2</v>
      </c>
    </row>
    <row r="50" spans="1:35" x14ac:dyDescent="0.2">
      <c r="C50" s="134" t="s">
        <v>60</v>
      </c>
      <c r="D50" s="170">
        <f>SUM(D46:D49)</f>
        <v>3210157.5146666667</v>
      </c>
      <c r="E50" s="186">
        <f>SUM(E46:E49)</f>
        <v>1</v>
      </c>
      <c r="F50" s="191">
        <f>SUM(F46:F49)</f>
        <v>458593.93066666671</v>
      </c>
      <c r="G50" s="186">
        <f>SUM(G46:G49)</f>
        <v>1</v>
      </c>
      <c r="H50" s="186">
        <f>SUM(H46:H49)</f>
        <v>0.61357917010064045</v>
      </c>
      <c r="L50" s="134" t="s">
        <v>60</v>
      </c>
      <c r="M50" s="170">
        <f>SUM(M46:M49)</f>
        <v>7286173.765714285</v>
      </c>
      <c r="N50" s="186">
        <f>SUM(N46:N49)</f>
        <v>0.99999999999999989</v>
      </c>
      <c r="O50" s="191">
        <f>SUM(O46:O49)</f>
        <v>910771.72071428562</v>
      </c>
      <c r="P50" s="186">
        <f>SUM(P46:P49)</f>
        <v>0.99999999999999989</v>
      </c>
      <c r="Q50" s="186">
        <f>SUM(Q46:Q49)</f>
        <v>0.89924710407322939</v>
      </c>
      <c r="U50" s="134" t="s">
        <v>60</v>
      </c>
      <c r="V50" s="170">
        <f>SUM(V46:V49)</f>
        <v>5503877.4500000002</v>
      </c>
      <c r="W50" s="186">
        <f>SUM(W46:W49)</f>
        <v>0.99999999999999989</v>
      </c>
      <c r="X50" s="191">
        <f>SUM(X46:X49)</f>
        <v>687984.68125000002</v>
      </c>
      <c r="Y50" s="186">
        <f>SUM(Y46:Y49)</f>
        <v>0.99999999999999989</v>
      </c>
      <c r="Z50" s="186">
        <f>SUM(Z46:Z49)</f>
        <v>0.89483833028326687</v>
      </c>
      <c r="AD50" s="134" t="s">
        <v>60</v>
      </c>
      <c r="AE50" s="170">
        <f>SUM(AE46:AE49)</f>
        <v>72590854.865666658</v>
      </c>
      <c r="AF50" s="186">
        <f>SUM(AF46:AF49)</f>
        <v>1.0000000000000002</v>
      </c>
      <c r="AG50" s="191">
        <f>SUM(AG46:AG49)</f>
        <v>3456707.3745555552</v>
      </c>
      <c r="AH50" s="186">
        <f>SUM(AH46:AH49)</f>
        <v>1.0000000000000002</v>
      </c>
      <c r="AI50" s="186">
        <f>SUM(AI46:AI49)</f>
        <v>0.88480029317789755</v>
      </c>
    </row>
    <row r="51" spans="1:35" x14ac:dyDescent="0.2">
      <c r="B51" s="134" t="s">
        <v>250</v>
      </c>
      <c r="K51" s="134" t="s">
        <v>250</v>
      </c>
      <c r="T51" s="134" t="s">
        <v>250</v>
      </c>
      <c r="AC51" s="134" t="s">
        <v>250</v>
      </c>
    </row>
    <row r="52" spans="1:35" x14ac:dyDescent="0.2">
      <c r="C52" s="134" t="s">
        <v>137</v>
      </c>
      <c r="D52" s="170">
        <f>SUMIF(Table13[Scope/Sub-Type],'INN Income Splits'!$A43,Table13[agg_sub_type_Earned Income - Advertising])</f>
        <v>385609</v>
      </c>
      <c r="E52" s="164">
        <f>D52/$D$58</f>
        <v>0.19073522137169335</v>
      </c>
      <c r="F52" s="170">
        <f>AVERAGEIFS(Table13[agg_sub_type_Earned Income - Advertising],Table13[Scope/Sub-Type],A43,Table13[agg_sub_type_Earned Income - Advertising],"&gt;0")</f>
        <v>55087</v>
      </c>
      <c r="G52" s="164">
        <f>F52/$F$58</f>
        <v>0.19073522137169335</v>
      </c>
      <c r="H52" s="176">
        <f>F52/$F$59</f>
        <v>7.3704062533487824E-2</v>
      </c>
      <c r="L52" s="134" t="s">
        <v>137</v>
      </c>
      <c r="M52" s="170">
        <f>SUMIF(Table13[Scope/Sub-Type],'INN Income Splits'!$J43,Table13[agg_sub_type_Earned Income - Advertising])</f>
        <v>4400</v>
      </c>
      <c r="N52" s="176">
        <f>M52/$M$58</f>
        <v>5.3898249708238975E-3</v>
      </c>
      <c r="O52" s="170">
        <f>AVERAGEIFS(Table13[agg_sub_type_Earned Income - Advertising],Table13[Scope/Sub-Type],J43,Table13[agg_sub_type_Earned Income - Advertising],"&gt;0")</f>
        <v>550</v>
      </c>
      <c r="P52" s="176">
        <f>O52/$O$58</f>
        <v>5.3898249708238975E-3</v>
      </c>
      <c r="Q52" s="176">
        <f t="shared" ref="Q52:Q57" si="56">M52/$M$59</f>
        <v>5.4304047434892923E-4</v>
      </c>
      <c r="U52" s="134" t="s">
        <v>137</v>
      </c>
      <c r="V52" s="170">
        <f>SUMIF(Table13[Scope/Sub-Type],'INN Income Splits'!$S43,Table13[agg_sub_type_Earned Income - Advertising])</f>
        <v>125621.33333333334</v>
      </c>
      <c r="W52" s="176">
        <f>V52/$V$58</f>
        <v>0.19421454382793288</v>
      </c>
      <c r="X52" s="170">
        <f>AVERAGEIFS(Table13[agg_sub_type_Earned Income - Advertising],Table13[Scope/Sub-Type],S43,Table13[agg_sub_type_Earned Income - Advertising],"&gt;0")</f>
        <v>15702.666666666668</v>
      </c>
      <c r="Y52" s="176">
        <f>X52/$X$58</f>
        <v>0.19421454382793288</v>
      </c>
      <c r="Z52" s="176">
        <f>X52/$X$59</f>
        <v>2.0423925712219067E-2</v>
      </c>
      <c r="AD52" s="134" t="s">
        <v>137</v>
      </c>
      <c r="AE52" s="170">
        <f>SUMIF(Table13[Scope/Sub-Type],'INN Income Splits'!$AB43,Table13[agg_sub_type_Earned Income - Advertising])</f>
        <v>1621176.2700000005</v>
      </c>
      <c r="AF52" s="176">
        <f>AE52/$AE$58</f>
        <v>0.17153083876088782</v>
      </c>
      <c r="AG52" s="170">
        <f>AVERAGEIFS(Table13[agg_sub_type_Earned Income - Advertising],Table13[Scope/Sub-Type],AB43,Table13[agg_sub_type_Earned Income - Advertising],"&gt;0")</f>
        <v>77198.870000000024</v>
      </c>
      <c r="AH52" s="176">
        <f>AG52/$AG$58</f>
        <v>0.17153083876088782</v>
      </c>
      <c r="AI52" s="176">
        <f>AG52/$AG$59</f>
        <v>1.9760302336203621E-2</v>
      </c>
    </row>
    <row r="53" spans="1:35" x14ac:dyDescent="0.2">
      <c r="C53" s="134" t="s">
        <v>138</v>
      </c>
      <c r="D53" s="170">
        <f>SUMIF(Table13[Scope/Sub-Type],'INN Income Splits'!$A43,Table13[agg_sub_type_Earned Income - Sponsorships/Underwriting])</f>
        <v>210406</v>
      </c>
      <c r="E53" s="164">
        <f t="shared" ref="E53:E57" si="57">D53/$D$58</f>
        <v>0.10407390643873071</v>
      </c>
      <c r="F53" s="170">
        <f>AVERAGEIFS(Table13[agg_sub_type_Earned Income - Sponsorships/Underwriting],Table13[Scope/Sub-Type],A43,Table13[agg_sub_type_Earned Income - Sponsorships/Underwriting],"&gt;0")</f>
        <v>30058</v>
      </c>
      <c r="G53" s="164">
        <f t="shared" ref="G53:G57" si="58">F53/$F$58</f>
        <v>0.10407390643873073</v>
      </c>
      <c r="H53" s="176">
        <f t="shared" ref="H53:H57" si="59">F53/$F$59</f>
        <v>4.021632529692263E-2</v>
      </c>
      <c r="L53" s="134" t="s">
        <v>138</v>
      </c>
      <c r="M53" s="170">
        <f>SUMIF(Table13[Scope/Sub-Type],'INN Income Splits'!$J43,Table13[agg_sub_type_Earned Income - Sponsorships/Underwriting])</f>
        <v>182160</v>
      </c>
      <c r="N53" s="176">
        <f t="shared" ref="N53:N57" si="60">M53/$M$58</f>
        <v>0.22313875379210935</v>
      </c>
      <c r="O53" s="170">
        <f>AVERAGEIFS(Table13[agg_sub_type_Earned Income - Sponsorships/Underwriting],Table13[Scope/Sub-Type],J43,Table13[agg_sub_type_Earned Income - Sponsorships/Underwriting],"&gt;0")</f>
        <v>22770</v>
      </c>
      <c r="P53" s="176">
        <f t="shared" ref="P53:P57" si="61">O53/$O$58</f>
        <v>0.22313875379210935</v>
      </c>
      <c r="Q53" s="176">
        <f t="shared" si="56"/>
        <v>2.248187563804567E-2</v>
      </c>
      <c r="U53" s="134" t="s">
        <v>138</v>
      </c>
      <c r="V53" s="170">
        <f>SUMIF(Table13[Scope/Sub-Type],'INN Income Splits'!$S43,Table13[agg_sub_type_Earned Income - Sponsorships/Underwriting])</f>
        <v>0</v>
      </c>
      <c r="W53" s="176">
        <f t="shared" ref="W53:W57" si="62">V53/$V$58</f>
        <v>0</v>
      </c>
      <c r="X53" s="170">
        <f>IFERROR(AVERAGEIFS(Table13[agg_sub_type_Earned Income - Sponsorships/Underwriting],Table13[Scope/Sub-Type],S43,Table13[agg_sub_type_Earned Income - Sponsorships/Underwriting],"&gt;0"),0)</f>
        <v>0</v>
      </c>
      <c r="Y53" s="176">
        <f t="shared" ref="Y53:Y57" si="63">X53/$X$58</f>
        <v>0</v>
      </c>
      <c r="Z53" s="176">
        <f t="shared" ref="Z53:Z57" si="64">X53/$X$59</f>
        <v>0</v>
      </c>
      <c r="AD53" s="134" t="s">
        <v>138</v>
      </c>
      <c r="AE53" s="170">
        <f>SUMIF(Table13[Scope/Sub-Type],'INN Income Splits'!$AB43,Table13[agg_sub_type_Earned Income - Sponsorships/Underwriting])</f>
        <v>4321145.5000000009</v>
      </c>
      <c r="AF53" s="176">
        <f t="shared" ref="AF53:AF57" si="65">AE53/$AE$58</f>
        <v>0.45720488619219424</v>
      </c>
      <c r="AG53" s="170">
        <f>AVERAGEIFS(Table13[agg_sub_type_Earned Income - Sponsorships/Underwriting],Table13[Scope/Sub-Type],AB43,Table13[agg_sub_type_Earned Income - Sponsorships/Underwriting],"&gt;0")</f>
        <v>205768.83333333337</v>
      </c>
      <c r="AH53" s="176">
        <f t="shared" ref="AH53:AH57" si="66">AG53/$AG$58</f>
        <v>0.45720488619219418</v>
      </c>
      <c r="AI53" s="176">
        <f t="shared" ref="AI53:AI57" si="67">AG53/$AG$59</f>
        <v>5.2669868846973528E-2</v>
      </c>
    </row>
    <row r="54" spans="1:35" x14ac:dyDescent="0.2">
      <c r="C54" s="134" t="s">
        <v>139</v>
      </c>
      <c r="D54" s="170">
        <f>SUMIF(Table13[Scope/Sub-Type],'INN Income Splits'!$A43,Table13[agg_sub_type_Earned Income - Subscriptions])</f>
        <v>1021475</v>
      </c>
      <c r="E54" s="164">
        <f t="shared" si="57"/>
        <v>0.50525599830566836</v>
      </c>
      <c r="F54" s="170">
        <f>AVERAGEIFS(Table13[agg_sub_type_Earned Income - Subscriptions],Table13[Scope/Sub-Type],$A$43,Table13[agg_sub_type_Earned Income - Subscriptions],"&gt;0")</f>
        <v>145925</v>
      </c>
      <c r="G54" s="164">
        <f t="shared" si="58"/>
        <v>0.50525599830566836</v>
      </c>
      <c r="H54" s="176">
        <f t="shared" si="59"/>
        <v>0.19524144217690581</v>
      </c>
      <c r="L54" s="134" t="s">
        <v>139</v>
      </c>
      <c r="M54" s="170">
        <f>SUMIF(Table13[Scope/Sub-Type],'INN Income Splits'!$J43,Table13[agg_sub_type_Earned Income - Subscriptions])</f>
        <v>0</v>
      </c>
      <c r="N54" s="176">
        <f t="shared" si="60"/>
        <v>0</v>
      </c>
      <c r="O54" s="170">
        <f>IFERROR(AVERAGEIFS(Table13[agg_sub_type_Earned Income - Subscriptions],Table13[Scope/Sub-Type],$J$43,Table13[agg_sub_type_Earned Income - Subscriptions],"&gt;0"),0)</f>
        <v>0</v>
      </c>
      <c r="P54" s="176">
        <f t="shared" si="61"/>
        <v>0</v>
      </c>
      <c r="Q54" s="176">
        <f t="shared" si="56"/>
        <v>0</v>
      </c>
      <c r="U54" s="134" t="s">
        <v>139</v>
      </c>
      <c r="V54" s="170">
        <f>SUMIF(Table13[Scope/Sub-Type],'INN Income Splits'!$S43,Table13[agg_sub_type_Earned Income - Subscriptions])</f>
        <v>0</v>
      </c>
      <c r="W54" s="176">
        <f t="shared" si="62"/>
        <v>0</v>
      </c>
      <c r="X54" s="170">
        <f>IFERROR(AVERAGEIFS(Table13[agg_sub_type_Earned Income - Subscriptions],Table13[Scope/Sub-Type],$S$43,Table13[agg_sub_type_Earned Income - Subscriptions],"&gt;0"),0)</f>
        <v>0</v>
      </c>
      <c r="Y54" s="176">
        <f t="shared" si="63"/>
        <v>0</v>
      </c>
      <c r="Z54" s="176">
        <f t="shared" si="64"/>
        <v>0</v>
      </c>
      <c r="AD54" s="134" t="s">
        <v>139</v>
      </c>
      <c r="AE54" s="170">
        <f>SUMIF(Table13[Scope/Sub-Type],'INN Income Splits'!$AB43,Table13[agg_sub_type_Earned Income - Subscriptions])</f>
        <v>1986334.8225000007</v>
      </c>
      <c r="AF54" s="176">
        <f t="shared" si="65"/>
        <v>0.21016695375351396</v>
      </c>
      <c r="AG54" s="170">
        <f>AVERAGEIFS(Table13[agg_sub_type_Earned Income - Subscriptions],Table13[Scope/Sub-Type],$AB$43,Table13[agg_sub_type_Earned Income - Subscriptions],"&gt;0")</f>
        <v>94587.372500000027</v>
      </c>
      <c r="AH54" s="176">
        <f t="shared" si="66"/>
        <v>0.21016695375351394</v>
      </c>
      <c r="AI54" s="176">
        <f t="shared" si="67"/>
        <v>2.421117145609919E-2</v>
      </c>
    </row>
    <row r="55" spans="1:35" x14ac:dyDescent="0.2">
      <c r="C55" s="134" t="s">
        <v>140</v>
      </c>
      <c r="D55" s="170">
        <f>SUMIF(Table13[Scope/Sub-Type],'INN Income Splits'!$A43,Table13[agg_sub_type_Earned Income - Events])</f>
        <v>237959.99500000002</v>
      </c>
      <c r="E55" s="164">
        <f t="shared" si="57"/>
        <v>0.11770304200351146</v>
      </c>
      <c r="F55" s="170">
        <f>AVERAGEIFS(Table13[agg_sub_type_Earned Income - Events],Table13[Scope/Sub-Type],$A$43,Table13[agg_sub_type_Earned Income - Events],"&gt;0")</f>
        <v>33994.285000000003</v>
      </c>
      <c r="G55" s="164">
        <f t="shared" si="58"/>
        <v>0.11770304200351146</v>
      </c>
      <c r="H55" s="176">
        <f t="shared" si="59"/>
        <v>4.5482907172676085E-2</v>
      </c>
      <c r="L55" s="134" t="s">
        <v>140</v>
      </c>
      <c r="M55" s="170">
        <f>SUMIF(Table13[Scope/Sub-Type],'INN Income Splits'!$J43,Table13[agg_sub_type_Earned Income - Events])</f>
        <v>0</v>
      </c>
      <c r="N55" s="176">
        <f t="shared" si="60"/>
        <v>0</v>
      </c>
      <c r="O55" s="170">
        <f>IFERROR(AVERAGEIFS(Table13[agg_sub_type_Earned Income - Events],Table13[Scope/Sub-Type],$J$43,Table13[agg_sub_type_Earned Income - Events],"&gt;0"),0)</f>
        <v>0</v>
      </c>
      <c r="P55" s="176">
        <f t="shared" si="61"/>
        <v>0</v>
      </c>
      <c r="Q55" s="176">
        <f t="shared" si="56"/>
        <v>0</v>
      </c>
      <c r="U55" s="134" t="s">
        <v>140</v>
      </c>
      <c r="V55" s="170">
        <f>SUMIF(Table13[Scope/Sub-Type],'INN Income Splits'!$S43,Table13[agg_sub_type_Earned Income - Events])</f>
        <v>0</v>
      </c>
      <c r="W55" s="176">
        <f t="shared" si="62"/>
        <v>0</v>
      </c>
      <c r="X55" s="170">
        <f>IFERROR(AVERAGEIFS(Table13[agg_sub_type_Earned Income - Events],Table13[Scope/Sub-Type],$S$43,Table13[agg_sub_type_Earned Income - Events],"&gt;0"),0)</f>
        <v>0</v>
      </c>
      <c r="Y55" s="176">
        <f t="shared" si="63"/>
        <v>0</v>
      </c>
      <c r="Z55" s="176">
        <f t="shared" si="64"/>
        <v>0</v>
      </c>
      <c r="AD55" s="134" t="s">
        <v>140</v>
      </c>
      <c r="AE55" s="170">
        <f>SUMIF(Table13[Scope/Sub-Type],'INN Income Splits'!$AB43,Table13[agg_sub_type_Earned Income - Events])</f>
        <v>636052.19999999995</v>
      </c>
      <c r="AF55" s="176">
        <f t="shared" si="65"/>
        <v>6.7298398934563686E-2</v>
      </c>
      <c r="AG55" s="170">
        <f>AVERAGEIFS(Table13[agg_sub_type_Earned Income - Events],Table13[Scope/Sub-Type],$AB$43,Table13[agg_sub_type_Earned Income - Events],"&gt;0")</f>
        <v>30288.199999999997</v>
      </c>
      <c r="AH55" s="176">
        <f t="shared" si="66"/>
        <v>6.7298398934563686E-2</v>
      </c>
      <c r="AI55" s="176">
        <f t="shared" si="67"/>
        <v>7.7527558268586346E-3</v>
      </c>
    </row>
    <row r="56" spans="1:35" x14ac:dyDescent="0.2">
      <c r="C56" s="134" t="s">
        <v>251</v>
      </c>
      <c r="D56" s="170">
        <f>SUMIF(Table13[Scope/Sub-Type],'INN Income Splits'!$A43,Table13[agg_sub_type_Earned Income - Syndication])</f>
        <v>62876.589999999982</v>
      </c>
      <c r="E56" s="164">
        <f t="shared" si="57"/>
        <v>3.1100882792536474E-2</v>
      </c>
      <c r="F56" s="170">
        <f>AVERAGEIFS(Table13[agg_sub_type_Earned Income - Syndication],Table13[Scope/Sub-Type],$A$43,Table13[agg_sub_type_Earned Income - Syndication],"&gt;0")</f>
        <v>8982.3699999999972</v>
      </c>
      <c r="G56" s="164">
        <f t="shared" si="58"/>
        <v>3.1100882792536474E-2</v>
      </c>
      <c r="H56" s="176">
        <f t="shared" si="59"/>
        <v>1.2018028939294658E-2</v>
      </c>
      <c r="L56" s="134" t="s">
        <v>251</v>
      </c>
      <c r="M56" s="170">
        <f>SUMIF(Table13[Scope/Sub-Type],'INN Income Splits'!$J43,Table13[agg_sub_type_Earned Income - Syndication])</f>
        <v>144000</v>
      </c>
      <c r="N56" s="176">
        <f t="shared" si="60"/>
        <v>0.17639427177241845</v>
      </c>
      <c r="O56" s="170">
        <f>AVERAGEIFS(Table13[agg_sub_type_Earned Income - Syndication],Table13[Scope/Sub-Type],$J$43,Table13[agg_sub_type_Earned Income - Syndication],"&gt;0")</f>
        <v>18000</v>
      </c>
      <c r="P56" s="176">
        <f t="shared" si="61"/>
        <v>0.17639427177241845</v>
      </c>
      <c r="Q56" s="176">
        <f t="shared" si="56"/>
        <v>1.7772233705964958E-2</v>
      </c>
      <c r="U56" s="134" t="s">
        <v>251</v>
      </c>
      <c r="V56" s="170">
        <f>SUMIF(Table13[Scope/Sub-Type],'INN Income Splits'!$S43,Table13[agg_sub_type_Earned Income - Syndication])</f>
        <v>5180</v>
      </c>
      <c r="W56" s="176">
        <f t="shared" si="62"/>
        <v>8.0084433936010776E-3</v>
      </c>
      <c r="X56" s="170">
        <f>AVERAGEIFS(Table13[agg_sub_type_Earned Income - Syndication],Table13[Scope/Sub-Type],$S$43,Table13[agg_sub_type_Earned Income - Syndication],"&gt;0")</f>
        <v>647.5</v>
      </c>
      <c r="Y56" s="176">
        <f t="shared" si="63"/>
        <v>8.0084433936010776E-3</v>
      </c>
      <c r="Z56" s="176">
        <f t="shared" si="64"/>
        <v>8.4218127910302986E-4</v>
      </c>
      <c r="AD56" s="134" t="s">
        <v>251</v>
      </c>
      <c r="AE56" s="170">
        <f>SUMIF(Table13[Scope/Sub-Type],'INN Income Splits'!$AB43,Table13[agg_sub_type_Earned Income - Syndication])</f>
        <v>378659.31600000011</v>
      </c>
      <c r="AF56" s="176">
        <f t="shared" si="65"/>
        <v>4.0064582291291541E-2</v>
      </c>
      <c r="AG56" s="170">
        <f>AVERAGEIFS(Table13[agg_sub_type_Earned Income - Syndication],Table13[Scope/Sub-Type],$AB$43,Table13[agg_sub_type_Earned Income - Syndication],"&gt;0")</f>
        <v>18031.396000000004</v>
      </c>
      <c r="AH56" s="176">
        <f t="shared" si="66"/>
        <v>4.0064582291291534E-2</v>
      </c>
      <c r="AI56" s="176">
        <f t="shared" si="67"/>
        <v>4.6154281339067862E-3</v>
      </c>
    </row>
    <row r="57" spans="1:35" x14ac:dyDescent="0.2">
      <c r="B57" s="137"/>
      <c r="C57" s="137" t="s">
        <v>248</v>
      </c>
      <c r="D57" s="181">
        <f>SUMIF(Table13[Scope/Sub-Type],'INN Income Splits'!$A43,Table13[agg_sub_type_Earned Income - Other])</f>
        <v>103371.33333333333</v>
      </c>
      <c r="E57" s="182">
        <f t="shared" si="57"/>
        <v>5.1130949087859562E-2</v>
      </c>
      <c r="F57" s="181">
        <f>AVERAGEIFS(Table13[agg_sub_type_Earned Income - Other],Table13[Scope/Sub-Type],$A$43,Table13[agg_sub_type_Earned Income - Other],"&gt;0")</f>
        <v>14767.333333333332</v>
      </c>
      <c r="G57" s="182">
        <f t="shared" si="58"/>
        <v>5.1130949087859562E-2</v>
      </c>
      <c r="H57" s="176">
        <f t="shared" si="59"/>
        <v>1.9758063780072596E-2</v>
      </c>
      <c r="K57" s="137"/>
      <c r="L57" s="137" t="s">
        <v>248</v>
      </c>
      <c r="M57" s="181">
        <f>SUMIF(Table13[Scope/Sub-Type],'INN Income Splits'!$J43,Table13[agg_sub_type_Earned Income - Other])</f>
        <v>485793.04</v>
      </c>
      <c r="N57" s="182">
        <f t="shared" si="60"/>
        <v>0.59507714946464818</v>
      </c>
      <c r="O57" s="181">
        <f>AVERAGEIFS(Table13[agg_sub_type_Earned Income - Other],Table13[Scope/Sub-Type],$J$43,Table13[agg_sub_type_Earned Income - Other],"&gt;0")</f>
        <v>60724.13</v>
      </c>
      <c r="P57" s="182">
        <f t="shared" si="61"/>
        <v>0.59507714946464818</v>
      </c>
      <c r="Q57" s="182">
        <f t="shared" si="56"/>
        <v>5.9955746108410993E-2</v>
      </c>
      <c r="T57" s="137"/>
      <c r="U57" s="137" t="s">
        <v>248</v>
      </c>
      <c r="V57" s="181">
        <f>SUMIF(Table13[Scope/Sub-Type],'INN Income Splits'!$S43,Table13[agg_sub_type_Earned Income - Other])</f>
        <v>516016</v>
      </c>
      <c r="W57" s="182">
        <f t="shared" si="62"/>
        <v>0.79777701277846602</v>
      </c>
      <c r="X57" s="181">
        <f>AVERAGEIFS(Table13[agg_sub_type_Earned Income - Other],Table13[Scope/Sub-Type],$S$43,Table13[agg_sub_type_Earned Income - Other],"&gt;0")</f>
        <v>64502</v>
      </c>
      <c r="Y57" s="182">
        <f t="shared" si="63"/>
        <v>0.79777701277846602</v>
      </c>
      <c r="Z57" s="182">
        <f t="shared" si="64"/>
        <v>8.3895562725411016E-2</v>
      </c>
      <c r="AC57" s="137"/>
      <c r="AD57" s="137" t="s">
        <v>248</v>
      </c>
      <c r="AE57" s="181">
        <f>SUMIF(Table13[Scope/Sub-Type],'INN Income Splits'!$AB43,Table13[agg_sub_type_Earned Income - Other])</f>
        <v>507855.24999999983</v>
      </c>
      <c r="AF57" s="182">
        <f t="shared" si="65"/>
        <v>5.3734340067548805E-2</v>
      </c>
      <c r="AG57" s="181">
        <f>AVERAGEIFS(Table13[agg_sub_type_Earned Income - Other],Table13[Scope/Sub-Type],$AB$43,Table13[agg_sub_type_Earned Income - Other],"&gt;0")</f>
        <v>24183.583333333325</v>
      </c>
      <c r="AH57" s="182">
        <f t="shared" si="66"/>
        <v>5.3734340067548805E-2</v>
      </c>
      <c r="AI57" s="182">
        <f t="shared" si="67"/>
        <v>6.1901802220607795E-3</v>
      </c>
    </row>
    <row r="58" spans="1:35" ht="12.75" thickBot="1" x14ac:dyDescent="0.25">
      <c r="B58" s="211"/>
      <c r="C58" s="211" t="s">
        <v>60</v>
      </c>
      <c r="D58" s="212">
        <f>SUM(D52:D57)</f>
        <v>2021697.9183333335</v>
      </c>
      <c r="E58" s="213">
        <f t="shared" ref="E58" si="68">SUM(E52:E57)</f>
        <v>0.99999999999999989</v>
      </c>
      <c r="F58" s="212">
        <f>SUM(F52:F57)</f>
        <v>288813.98833333334</v>
      </c>
      <c r="G58" s="214">
        <f>SUM(G52:G57)</f>
        <v>0.99999999999999989</v>
      </c>
      <c r="H58" s="213">
        <f>SUM(H52:H57)</f>
        <v>0.38642082989935961</v>
      </c>
      <c r="K58" s="211"/>
      <c r="L58" s="211" t="s">
        <v>60</v>
      </c>
      <c r="M58" s="212">
        <f>SUM(M52:M57)</f>
        <v>816353.04</v>
      </c>
      <c r="N58" s="213">
        <f t="shared" ref="N58" si="69">SUM(N52:N57)</f>
        <v>0.99999999999999989</v>
      </c>
      <c r="O58" s="212">
        <f>SUM(O52:O57)</f>
        <v>102044.13</v>
      </c>
      <c r="P58" s="214">
        <f>SUM(P52:P57)</f>
        <v>0.99999999999999989</v>
      </c>
      <c r="Q58" s="213">
        <f>SUM(Q52:Q57)</f>
        <v>0.10075289592677056</v>
      </c>
      <c r="T58" s="211"/>
      <c r="U58" s="211"/>
      <c r="V58" s="212">
        <f>SUM(V52:V57)</f>
        <v>646817.33333333337</v>
      </c>
      <c r="W58" s="213">
        <f t="shared" ref="W58" si="70">SUM(W52:W57)</f>
        <v>1</v>
      </c>
      <c r="X58" s="212">
        <f>SUM(X52:X57)</f>
        <v>80852.166666666672</v>
      </c>
      <c r="Y58" s="214">
        <f>SUM(Y52:Y57)</f>
        <v>1</v>
      </c>
      <c r="Z58" s="213">
        <f>SUM(Z52:Z57)</f>
        <v>0.10516166971673312</v>
      </c>
      <c r="AC58" s="211"/>
      <c r="AD58" s="211" t="s">
        <v>60</v>
      </c>
      <c r="AE58" s="212">
        <f>SUM(AE52:AE57)</f>
        <v>9451223.358500002</v>
      </c>
      <c r="AF58" s="213">
        <f t="shared" ref="AF58" si="71">SUM(AF52:AF57)</f>
        <v>1</v>
      </c>
      <c r="AG58" s="212">
        <f>SUM(AG52:AG57)</f>
        <v>450058.25516666676</v>
      </c>
      <c r="AH58" s="214">
        <f>SUM(AH52:AH57)</f>
        <v>1</v>
      </c>
      <c r="AI58" s="213">
        <f>SUM(AI52:AI57)</f>
        <v>0.11519970682210254</v>
      </c>
    </row>
    <row r="59" spans="1:35" s="133" customFormat="1" ht="12.75" thickTop="1" x14ac:dyDescent="0.2">
      <c r="B59" s="133" t="s">
        <v>60</v>
      </c>
      <c r="D59" s="201">
        <f>D50+D58</f>
        <v>5231855.4330000002</v>
      </c>
      <c r="E59" s="165"/>
      <c r="F59" s="201">
        <f>F50+F58</f>
        <v>747407.91899999999</v>
      </c>
      <c r="G59" s="215"/>
      <c r="H59" s="165">
        <f>H58+H50</f>
        <v>1</v>
      </c>
      <c r="K59" s="133" t="s">
        <v>60</v>
      </c>
      <c r="M59" s="201">
        <f>M50+M58</f>
        <v>8102526.805714285</v>
      </c>
      <c r="N59" s="165"/>
      <c r="O59" s="201"/>
      <c r="P59" s="215"/>
      <c r="Q59" s="165">
        <f>Q50+Q58</f>
        <v>1</v>
      </c>
      <c r="T59" s="133" t="s">
        <v>60</v>
      </c>
      <c r="V59" s="201">
        <f>V50+V58</f>
        <v>6150694.7833333332</v>
      </c>
      <c r="W59" s="165"/>
      <c r="X59" s="201">
        <f>X50+X58</f>
        <v>768836.84791666665</v>
      </c>
      <c r="Y59" s="215"/>
      <c r="Z59" s="165">
        <f>Z50+Z58</f>
        <v>1</v>
      </c>
      <c r="AC59" s="133" t="s">
        <v>60</v>
      </c>
      <c r="AE59" s="201">
        <f>AE50+AE58</f>
        <v>82042078.224166662</v>
      </c>
      <c r="AF59" s="165"/>
      <c r="AG59" s="201">
        <f>AG50+AG58</f>
        <v>3906765.6297222218</v>
      </c>
      <c r="AH59" s="215"/>
      <c r="AI59" s="165">
        <f>AI50+AI58</f>
        <v>1</v>
      </c>
    </row>
    <row r="61" spans="1:35" x14ac:dyDescent="0.2">
      <c r="A61" s="217" t="s">
        <v>286</v>
      </c>
      <c r="B61" s="218"/>
      <c r="C61" s="218"/>
      <c r="D61" s="218"/>
      <c r="E61" s="218"/>
      <c r="F61" s="218"/>
      <c r="G61" s="218"/>
      <c r="H61" s="218"/>
      <c r="J61" s="217" t="s">
        <v>287</v>
      </c>
      <c r="K61" s="218"/>
      <c r="L61" s="218"/>
      <c r="M61" s="218"/>
      <c r="N61" s="218"/>
      <c r="O61" s="218"/>
      <c r="P61" s="218"/>
      <c r="Q61" s="218"/>
      <c r="S61" s="217" t="s">
        <v>288</v>
      </c>
      <c r="T61" s="218"/>
      <c r="U61" s="218"/>
      <c r="V61" s="218"/>
      <c r="W61" s="218"/>
      <c r="X61" s="218"/>
      <c r="Y61" s="218"/>
      <c r="Z61" s="218"/>
      <c r="AB61" s="217" t="s">
        <v>289</v>
      </c>
      <c r="AC61" s="218"/>
      <c r="AD61" s="218"/>
      <c r="AE61" s="218"/>
      <c r="AF61" s="218"/>
      <c r="AG61" s="218"/>
      <c r="AH61" s="218"/>
      <c r="AI61" s="218"/>
    </row>
    <row r="62" spans="1:35" ht="24" x14ac:dyDescent="0.2">
      <c r="A62" s="166"/>
      <c r="B62" s="166"/>
      <c r="C62" s="166"/>
      <c r="D62" s="166" t="s">
        <v>269</v>
      </c>
      <c r="E62" s="166" t="s">
        <v>282</v>
      </c>
      <c r="F62" s="166" t="s">
        <v>283</v>
      </c>
      <c r="G62" s="166" t="s">
        <v>284</v>
      </c>
      <c r="H62" s="166" t="s">
        <v>285</v>
      </c>
      <c r="J62" s="166"/>
      <c r="K62" s="166"/>
      <c r="L62" s="166"/>
      <c r="M62" s="166" t="s">
        <v>269</v>
      </c>
      <c r="N62" s="166" t="s">
        <v>282</v>
      </c>
      <c r="O62" s="166" t="s">
        <v>283</v>
      </c>
      <c r="P62" s="166" t="s">
        <v>284</v>
      </c>
      <c r="Q62" s="166" t="s">
        <v>285</v>
      </c>
      <c r="S62" s="166"/>
      <c r="T62" s="166"/>
      <c r="U62" s="166"/>
      <c r="V62" s="166" t="s">
        <v>269</v>
      </c>
      <c r="W62" s="166" t="s">
        <v>282</v>
      </c>
      <c r="X62" s="166" t="s">
        <v>283</v>
      </c>
      <c r="Y62" s="166" t="s">
        <v>284</v>
      </c>
      <c r="Z62" s="166" t="s">
        <v>285</v>
      </c>
      <c r="AB62" s="166"/>
      <c r="AC62" s="166"/>
      <c r="AD62" s="166"/>
      <c r="AE62" s="166" t="s">
        <v>269</v>
      </c>
      <c r="AF62" s="166" t="s">
        <v>282</v>
      </c>
      <c r="AG62" s="166" t="s">
        <v>283</v>
      </c>
      <c r="AH62" s="166" t="s">
        <v>284</v>
      </c>
      <c r="AI62" s="166" t="s">
        <v>285</v>
      </c>
    </row>
    <row r="63" spans="1:35" x14ac:dyDescent="0.2">
      <c r="B63" s="134" t="s">
        <v>246</v>
      </c>
      <c r="D63" s="170"/>
      <c r="K63" s="134" t="s">
        <v>246</v>
      </c>
      <c r="M63" s="170"/>
      <c r="T63" s="134" t="s">
        <v>246</v>
      </c>
      <c r="V63" s="170"/>
      <c r="AC63" s="134" t="s">
        <v>246</v>
      </c>
      <c r="AE63" s="170"/>
    </row>
    <row r="64" spans="1:35" x14ac:dyDescent="0.2">
      <c r="C64" s="134" t="s">
        <v>134</v>
      </c>
      <c r="D64" s="170">
        <f>SUMIF(Table13[Scope/Sub-Type],'INN Income Splits'!A61,Table13[agg_content_type_Cont. Income - Foundations])</f>
        <v>0</v>
      </c>
      <c r="E64" s="164" t="e">
        <f>D64/$D$13</f>
        <v>#REF!</v>
      </c>
      <c r="F64" s="170">
        <f>AVERAGEIFS(Table13[agg_content_type_Cont. Income - Foundations],Table13[Scope/Content Type],$A61,Table13[agg_content_type_Cont. Income - Foundations],"&gt;0")</f>
        <v>236082.64400000009</v>
      </c>
      <c r="G64" s="176">
        <f>F64/$F$68</f>
        <v>0.54973444954276507</v>
      </c>
      <c r="H64" s="176">
        <f>F64/$F$77</f>
        <v>0.29803991630108767</v>
      </c>
      <c r="L64" s="134" t="s">
        <v>134</v>
      </c>
      <c r="M64" s="170">
        <f>SUMIF(Table13[Scope/Sub-Type],'INN Income Splits'!J61,Table13[agg_content_type_Cont. Income - Foundations])</f>
        <v>0</v>
      </c>
      <c r="N64" s="164" t="e">
        <f>M64/$D$13</f>
        <v>#REF!</v>
      </c>
      <c r="O64" s="170">
        <f>AVERAGEIFS(Table13[agg_content_type_Cont. Income - Foundations],Table13[Scope/Content Type],$J61,Table13[agg_content_type_Cont. Income - Foundations],"&gt;0")</f>
        <v>672987.21052631573</v>
      </c>
      <c r="P64" s="176">
        <f>O64/$O$68</f>
        <v>0.38548975389220064</v>
      </c>
      <c r="Q64" s="176">
        <f>O64/$O$77</f>
        <v>0.31835755145238143</v>
      </c>
      <c r="U64" s="134" t="s">
        <v>134</v>
      </c>
      <c r="V64" s="170">
        <f>SUMIF(Table13[Scope/Sub-Type],'INN Income Splits'!S61,Table13[agg_content_type_Cont. Income - Foundations])</f>
        <v>0</v>
      </c>
      <c r="W64" s="164" t="e">
        <f>V64/$D$13</f>
        <v>#REF!</v>
      </c>
      <c r="X64" s="170">
        <f>AVERAGEIFS(Table13[agg_content_type_Cont. Income - Foundations],Table13[Scope/Content Type],$S61,Table13[agg_content_type_Cont. Income - Foundations],"&gt;0")</f>
        <v>256565</v>
      </c>
      <c r="Y64" s="176">
        <f>X64/$O$68</f>
        <v>0.14696145359137558</v>
      </c>
      <c r="Z64" s="176">
        <f>X64/$O$77</f>
        <v>0.12136843599821479</v>
      </c>
      <c r="AD64" s="134" t="s">
        <v>134</v>
      </c>
      <c r="AE64" s="170">
        <f>SUMIF(Table13[Scope/Sub-Type],'INN Income Splits'!AB61,Table13[agg_content_type_Cont. Income - Foundations])</f>
        <v>0</v>
      </c>
      <c r="AF64" s="164" t="e">
        <f>AE64/$D$13</f>
        <v>#REF!</v>
      </c>
      <c r="AG64" s="170">
        <f>AVERAGEIFS(Table13[agg_content_type_Cont. Income - Foundations],Table13[Scope/Content Type],$AB61,Table13[agg_content_type_Cont. Income - Foundations],"&gt;0")</f>
        <v>861863.35636363586</v>
      </c>
      <c r="AH64" s="176">
        <f>AG64/$AG$68</f>
        <v>0.44939346765002453</v>
      </c>
      <c r="AI64" s="176">
        <f>AG64/$AG$77</f>
        <v>0.34675881114511536</v>
      </c>
    </row>
    <row r="65" spans="1:35" x14ac:dyDescent="0.2">
      <c r="C65" s="134" t="s">
        <v>135</v>
      </c>
      <c r="D65" s="170">
        <f>SUMIF(Table13[Scope/Sub-Type],'INN Income Splits'!A61,Table13[agg_content_type_Cont. Income - Membership])</f>
        <v>0</v>
      </c>
      <c r="E65" s="164" t="e">
        <f t="shared" ref="E65:E67" si="72">D65/$D$13</f>
        <v>#REF!</v>
      </c>
      <c r="F65" s="170">
        <f>AVERAGEIFS(Table13[agg_content_type_Cont. Income - Membership],Table13[Scope/Content Type],$A$61,Table13[agg_content_type_Cont. Income - Membership],"&gt;0")</f>
        <v>25196.196</v>
      </c>
      <c r="G65" s="176">
        <f t="shared" ref="G65:G67" si="73">F65/$F$68</f>
        <v>5.8671051390934162E-2</v>
      </c>
      <c r="H65" s="176">
        <f t="shared" ref="H65:H67" si="74">F65/$F$77</f>
        <v>3.1808658271998164E-2</v>
      </c>
      <c r="L65" s="134" t="s">
        <v>135</v>
      </c>
      <c r="M65" s="170">
        <f>SUMIF(Table13[Scope/Sub-Type],'INN Income Splits'!J61,Table13[agg_content_type_Cont. Income - Membership])</f>
        <v>0</v>
      </c>
      <c r="N65" s="164" t="e">
        <f t="shared" ref="N65:N67" si="75">M65/$D$13</f>
        <v>#REF!</v>
      </c>
      <c r="O65" s="170">
        <f>AVERAGEIFS(Table13[agg_content_type_Cont. Income - Membership],Table13[Scope/Content Type],$J61,Table13[agg_content_type_Cont. Income - Membership],"&gt;0")</f>
        <v>429193</v>
      </c>
      <c r="P65" s="176">
        <f t="shared" ref="P65:P67" si="76">O65/$O$68</f>
        <v>0.24584345936212365</v>
      </c>
      <c r="Q65" s="176">
        <f t="shared" ref="Q65:Q67" si="77">O65/$O$77</f>
        <v>0.20303035547086234</v>
      </c>
      <c r="U65" s="134" t="s">
        <v>135</v>
      </c>
      <c r="V65" s="170">
        <f>SUMIF(Table13[Scope/Sub-Type],'INN Income Splits'!S61,Table13[agg_content_type_Cont. Income - Membership])</f>
        <v>0</v>
      </c>
      <c r="W65" s="164" t="e">
        <f t="shared" ref="W65:W67" si="78">V65/$D$13</f>
        <v>#REF!</v>
      </c>
      <c r="X65" s="170">
        <f>AVERAGEIFS(Table13[agg_content_type_Cont. Income - Membership],Table13[Scope/Content Type],$S61,Table13[agg_content_type_Cont. Income - Membership],"&gt;0")</f>
        <v>76396.666666666657</v>
      </c>
      <c r="Y65" s="176">
        <f t="shared" ref="Y65:Y67" si="79">X65/$O$68</f>
        <v>4.3760314863169648E-2</v>
      </c>
      <c r="Z65" s="176">
        <f t="shared" ref="Z65:Z67" si="80">X65/$O$77</f>
        <v>3.6139551181222224E-2</v>
      </c>
      <c r="AD65" s="134" t="s">
        <v>135</v>
      </c>
      <c r="AE65" s="170">
        <f>SUMIF(Table13[Scope/Sub-Type],'INN Income Splits'!AB61,Table13[agg_content_type_Cont. Income - Membership])</f>
        <v>0</v>
      </c>
      <c r="AF65" s="164" t="e">
        <f t="shared" ref="AF65:AF67" si="81">AE65/$D$13</f>
        <v>#REF!</v>
      </c>
      <c r="AG65" s="170">
        <f>AVERAGEIFS(Table13[agg_content_type_Cont. Income - Membership],Table13[Scope/Content Type],$AB61,Table13[agg_content_type_Cont. Income - Membership],"&gt;0")</f>
        <v>201954.71666666676</v>
      </c>
      <c r="AH65" s="176">
        <f t="shared" ref="AH65:AH67" si="82">AG65/$AG$68</f>
        <v>0.10530338685477132</v>
      </c>
      <c r="AI65" s="176">
        <f t="shared" ref="AI65:AI67" si="83">AG65/$AG$77</f>
        <v>8.1253689392190867E-2</v>
      </c>
    </row>
    <row r="66" spans="1:35" x14ac:dyDescent="0.2">
      <c r="C66" s="134" t="s">
        <v>247</v>
      </c>
      <c r="D66" s="170">
        <f>SUMIF(Table13[Scope/Sub-Type],'INN Income Splits'!A61,Table13[agg_content_type_Total Individual Donations])</f>
        <v>0</v>
      </c>
      <c r="E66" s="164" t="e">
        <f t="shared" si="72"/>
        <v>#REF!</v>
      </c>
      <c r="F66" s="170">
        <f>AVERAGEIFS(Table13[agg_content_type_Total Individual Donations],Table13[Scope/Content Type],$A$61,Table13[agg_content_type_Total Individual Donations],"&gt;0")</f>
        <v>99512.426818181775</v>
      </c>
      <c r="G66" s="176">
        <f t="shared" si="73"/>
        <v>0.2317214355645637</v>
      </c>
      <c r="H66" s="176">
        <f t="shared" si="74"/>
        <v>0.12562835987133811</v>
      </c>
      <c r="L66" s="134" t="s">
        <v>247</v>
      </c>
      <c r="M66" s="170">
        <f>SUMIF(Table13[Scope/Sub-Type],'INN Income Splits'!J61,Table13[agg_content_type_Total Individual Donations])</f>
        <v>0</v>
      </c>
      <c r="N66" s="164" t="e">
        <f t="shared" si="75"/>
        <v>#REF!</v>
      </c>
      <c r="O66" s="170">
        <f>AVERAGEIFS(Table13[agg_content_type_Total Individual Donations],Table13[Scope/Content Type],$J61,Table13[agg_content_type_Total Individual Donations],"&gt;0")</f>
        <v>620242.70947368431</v>
      </c>
      <c r="P66" s="176">
        <f t="shared" si="76"/>
        <v>0.35527749367102257</v>
      </c>
      <c r="Q66" s="176">
        <f t="shared" si="77"/>
        <v>0.29340669065584229</v>
      </c>
      <c r="U66" s="134" t="s">
        <v>247</v>
      </c>
      <c r="V66" s="170">
        <f>SUMIF(Table13[Scope/Sub-Type],'INN Income Splits'!S61,Table13[agg_content_type_Total Individual Donations])</f>
        <v>0</v>
      </c>
      <c r="W66" s="164" t="e">
        <f t="shared" si="78"/>
        <v>#REF!</v>
      </c>
      <c r="X66" s="170">
        <f>AVERAGEIFS(Table13[agg_content_type_Total Individual Donations],Table13[Scope/Content Type],$S61,Table13[agg_content_type_Total Individual Donations],"&gt;0")</f>
        <v>1018410.0718181821</v>
      </c>
      <c r="Y66" s="176">
        <f t="shared" si="79"/>
        <v>0.58334934424608675</v>
      </c>
      <c r="Z66" s="176">
        <f t="shared" si="80"/>
        <v>0.48176032436771327</v>
      </c>
      <c r="AD66" s="134" t="s">
        <v>247</v>
      </c>
      <c r="AE66" s="170">
        <f>SUMIF(Table13[Scope/Sub-Type],'INN Income Splits'!AB61,Table13[agg_content_type_Total Individual Donations])</f>
        <v>0</v>
      </c>
      <c r="AF66" s="164" t="e">
        <f t="shared" si="81"/>
        <v>#REF!</v>
      </c>
      <c r="AG66" s="170">
        <f>AVERAGEIFS(Table13[agg_content_type_Total Individual Donations],Table13[Scope/Content Type],$AB61,Table13[agg_content_type_Total Individual Donations],"&gt;0")</f>
        <v>627342.51304347813</v>
      </c>
      <c r="AH66" s="176">
        <f t="shared" si="82"/>
        <v>0.32710942547827809</v>
      </c>
      <c r="AI66" s="176">
        <f t="shared" si="83"/>
        <v>0.2524025907326809</v>
      </c>
    </row>
    <row r="67" spans="1:35" x14ac:dyDescent="0.2">
      <c r="B67" s="137"/>
      <c r="C67" s="137" t="s">
        <v>248</v>
      </c>
      <c r="D67" s="181">
        <f>SUMIF(Table13[Scope/Sub-Type],'INN Income Splits'!A61,Table13[agg_content_type_Cont. Income - Other])</f>
        <v>0</v>
      </c>
      <c r="E67" s="182" t="e">
        <f t="shared" si="72"/>
        <v>#REF!</v>
      </c>
      <c r="F67" s="181">
        <f>AVERAGEIFS(Table13[agg_content_type_Cont. Income - Other],Table13[Scope/Content Type],$A$61,Table13[agg_content_type_Cont. Income - Other],"&gt;0")</f>
        <v>68657.25</v>
      </c>
      <c r="G67" s="182">
        <f t="shared" si="73"/>
        <v>0.15987306350173711</v>
      </c>
      <c r="H67" s="182">
        <f t="shared" si="74"/>
        <v>8.6675584010584214E-2</v>
      </c>
      <c r="K67" s="137"/>
      <c r="L67" s="137" t="s">
        <v>248</v>
      </c>
      <c r="M67" s="181">
        <f>SUMIF(Table13[Scope/Sub-Type],'INN Income Splits'!J61,Table13[agg_content_type_Cont. Income - Other])</f>
        <v>0</v>
      </c>
      <c r="N67" s="182" t="e">
        <f t="shared" si="75"/>
        <v>#REF!</v>
      </c>
      <c r="O67" s="181">
        <f>AVERAGEIFS(Table13[agg_content_type_Cont. Income - Other],Table13[Scope/Content Type],$J61,Table13[agg_content_type_Cont. Income - Other],"&gt;0")</f>
        <v>23375</v>
      </c>
      <c r="P67" s="182">
        <f t="shared" si="76"/>
        <v>1.3389293074653223E-2</v>
      </c>
      <c r="Q67" s="182">
        <f t="shared" si="77"/>
        <v>1.1057576799089005E-2</v>
      </c>
      <c r="T67" s="137"/>
      <c r="U67" s="137" t="s">
        <v>248</v>
      </c>
      <c r="V67" s="181">
        <f>SUMIF(Table13[Scope/Sub-Type],'INN Income Splits'!S61,Table13[agg_content_type_Cont. Income - Other])</f>
        <v>0</v>
      </c>
      <c r="W67" s="182" t="e">
        <f t="shared" si="78"/>
        <v>#REF!</v>
      </c>
      <c r="X67" s="181">
        <f>AVERAGEIFS(Table13[agg_content_type_Cont. Income - Other],Table13[Scope/Content Type],$S61,Table13[agg_content_type_Cont. Income - Other],"&gt;0")</f>
        <v>277943</v>
      </c>
      <c r="Y67" s="182">
        <f t="shared" si="79"/>
        <v>0.15920685711436752</v>
      </c>
      <c r="Z67" s="182">
        <f t="shared" si="80"/>
        <v>0.13148132912381583</v>
      </c>
      <c r="AC67" s="137"/>
      <c r="AD67" s="137" t="s">
        <v>248</v>
      </c>
      <c r="AE67" s="181">
        <f>SUMIF(Table13[Scope/Sub-Type],'INN Income Splits'!AB61,Table13[agg_content_type_Cont. Income - Other])</f>
        <v>0</v>
      </c>
      <c r="AF67" s="182" t="e">
        <f t="shared" si="81"/>
        <v>#REF!</v>
      </c>
      <c r="AG67" s="181">
        <f>AVERAGEIFS(Table13[agg_content_type_Cont. Income - Other],Table13[Scope/Content Type],$AB61,Table13[agg_content_type_Cont. Income - Other],"&gt;0")</f>
        <v>226676.27272727274</v>
      </c>
      <c r="AH67" s="182">
        <f t="shared" si="82"/>
        <v>0.1181937200169261</v>
      </c>
      <c r="AI67" s="182">
        <f t="shared" si="83"/>
        <v>9.1200065840311026E-2</v>
      </c>
    </row>
    <row r="68" spans="1:35" x14ac:dyDescent="0.2">
      <c r="C68" s="134" t="s">
        <v>60</v>
      </c>
      <c r="D68" s="170">
        <f>SUM(D64:D67)</f>
        <v>0</v>
      </c>
      <c r="E68" s="186" t="e">
        <f>SUM(E64:E67)</f>
        <v>#REF!</v>
      </c>
      <c r="F68" s="191">
        <f>SUM(F64:F67)</f>
        <v>429448.51681818184</v>
      </c>
      <c r="G68" s="186">
        <f>SUM(G64:G67)</f>
        <v>1</v>
      </c>
      <c r="H68" s="186">
        <f>SUM(H64:H67)</f>
        <v>0.54215251845500811</v>
      </c>
      <c r="L68" s="134" t="s">
        <v>60</v>
      </c>
      <c r="M68" s="170">
        <f>SUM(M64:M67)</f>
        <v>0</v>
      </c>
      <c r="N68" s="186" t="e">
        <f>SUM(N64:N67)</f>
        <v>#REF!</v>
      </c>
      <c r="O68" s="191">
        <f>SUM(O64:O67)</f>
        <v>1745797.92</v>
      </c>
      <c r="P68" s="186">
        <f>SUM(P64:P67)</f>
        <v>1.0000000000000002</v>
      </c>
      <c r="Q68" s="186">
        <f>SUM(Q64:Q67)</f>
        <v>0.82585217437817504</v>
      </c>
      <c r="U68" s="134" t="s">
        <v>60</v>
      </c>
      <c r="V68" s="170">
        <f>SUM(V64:V67)</f>
        <v>0</v>
      </c>
      <c r="W68" s="186" t="e">
        <f>SUM(W64:W67)</f>
        <v>#REF!</v>
      </c>
      <c r="X68" s="191">
        <f>SUM(X64:X67)</f>
        <v>1629314.7384848488</v>
      </c>
      <c r="Y68" s="186">
        <f>SUM(Y64:Y67)</f>
        <v>0.93327796981499955</v>
      </c>
      <c r="Z68" s="186">
        <f>SUM(Z64:Z67)</f>
        <v>0.77074964067096607</v>
      </c>
      <c r="AD68" s="134" t="s">
        <v>60</v>
      </c>
      <c r="AE68" s="170">
        <f>SUM(AE64:AE67)</f>
        <v>0</v>
      </c>
      <c r="AF68" s="186" t="e">
        <f>SUM(AF64:AF67)</f>
        <v>#REF!</v>
      </c>
      <c r="AG68" s="191">
        <f>SUM(AG64:AG67)</f>
        <v>1917836.8588010534</v>
      </c>
      <c r="AH68" s="186">
        <f>SUM(AH64:AH67)</f>
        <v>1</v>
      </c>
      <c r="AI68" s="186">
        <f>SUM(AI64:AI67)</f>
        <v>0.77161515711029816</v>
      </c>
    </row>
    <row r="69" spans="1:35" x14ac:dyDescent="0.2">
      <c r="B69" s="134" t="s">
        <v>250</v>
      </c>
      <c r="K69" s="134" t="s">
        <v>250</v>
      </c>
      <c r="T69" s="134" t="s">
        <v>250</v>
      </c>
      <c r="AC69" s="134" t="s">
        <v>250</v>
      </c>
    </row>
    <row r="70" spans="1:35" x14ac:dyDescent="0.2">
      <c r="C70" s="134" t="s">
        <v>137</v>
      </c>
      <c r="D70" s="170">
        <f>SUMIF(Table13[Scope/Sub-Type],'INN Income Splits'!$A$6,Table13[agg_content_type_Earned Income - Advertising])</f>
        <v>8128757.0358974375</v>
      </c>
      <c r="E70" s="164" t="e">
        <f>D70/$D$21</f>
        <v>#REF!</v>
      </c>
      <c r="F70" s="170">
        <f>AVERAGEIFS(Table13[agg_content_type_Earned Income - Advertising],Table13[Scope/Content Type],$A$61,Table13[agg_content_type_Earned Income - Advertising],"&gt;0")</f>
        <v>166293.03076923077</v>
      </c>
      <c r="G70" s="164">
        <f>F70/$F$76</f>
        <v>0.45852560371571643</v>
      </c>
      <c r="H70" s="176">
        <f>F70/$F$77</f>
        <v>0.20993479288513778</v>
      </c>
      <c r="L70" s="134" t="s">
        <v>137</v>
      </c>
      <c r="M70" s="170">
        <f>SUMIF(Table13[Scope/Sub-Type],'INN Income Splits'!$A$6,Table13[agg_content_type_Earned Income - Advertising])</f>
        <v>8128757.0358974375</v>
      </c>
      <c r="N70" s="164" t="e">
        <f>M70/$D$21</f>
        <v>#REF!</v>
      </c>
      <c r="O70" s="170">
        <f>AVERAGEIFS(Table13[agg_content_type_Earned Income - Advertising],Table13[Scope/Content Type],$J61,Table13[agg_content_type_Earned Income - Advertising],"&gt;0")</f>
        <v>64549</v>
      </c>
      <c r="P70" s="176">
        <f>O70/$O$76</f>
        <v>0.17533951747331084</v>
      </c>
      <c r="Q70" s="176">
        <f>O70/$O$77</f>
        <v>3.0534995713557056E-2</v>
      </c>
      <c r="U70" s="134" t="s">
        <v>137</v>
      </c>
      <c r="V70" s="170">
        <f>SUMIF(Table13[Scope/Sub-Type],'INN Income Splits'!$A$6,Table13[agg_content_type_Earned Income - Advertising])</f>
        <v>8128757.0358974375</v>
      </c>
      <c r="W70" s="164" t="e">
        <f>V70/$D$21</f>
        <v>#REF!</v>
      </c>
      <c r="X70" s="170">
        <f>AVERAGEIFS(Table13[agg_content_type_Earned Income - Advertising],Table13[Scope/Content Type],$S61,Table13[agg_content_type_Earned Income - Advertising],"&gt;0")</f>
        <v>62286.166666666657</v>
      </c>
      <c r="Y70" s="176">
        <f>X70/$O$76</f>
        <v>0.16919280559877845</v>
      </c>
      <c r="Z70" s="176">
        <f>X70/$O$77</f>
        <v>2.9464559205883385E-2</v>
      </c>
      <c r="AD70" s="134" t="s">
        <v>137</v>
      </c>
      <c r="AE70" s="170">
        <f>SUMIF(Table13[Scope/Sub-Type],'INN Income Splits'!$A$6,Table13[agg_content_type_Earned Income - Advertising])</f>
        <v>8128757.0358974375</v>
      </c>
      <c r="AF70" s="164" t="e">
        <f>AE70/$D$21</f>
        <v>#REF!</v>
      </c>
      <c r="AG70" s="170">
        <f>AVERAGEIFS(Table13[agg_content_type_Earned Income - Advertising],Table13[Scope/Content Type],$AB61,Table13[agg_content_type_Earned Income - Advertising],"&gt;0")</f>
        <v>165261.90799999994</v>
      </c>
      <c r="AH70" s="176">
        <f>AG70/$AG$76</f>
        <v>0.29113510358314254</v>
      </c>
      <c r="AI70" s="176">
        <f>AG70/$AG$77</f>
        <v>6.6490844891513121E-2</v>
      </c>
    </row>
    <row r="71" spans="1:35" x14ac:dyDescent="0.2">
      <c r="C71" s="134" t="s">
        <v>138</v>
      </c>
      <c r="D71" s="170">
        <f>SUMIF(Table13[Scope/Sub-Type],'INN Income Splits'!$A$6,Table13[agg_content_type_Earned Income - Sponsorships/Underwriting])</f>
        <v>2673769.4857142894</v>
      </c>
      <c r="E71" s="164" t="e">
        <f t="shared" ref="E71:E75" si="84">D71/$D$21</f>
        <v>#REF!</v>
      </c>
      <c r="F71" s="170">
        <f>AVERAGEIFS(Table13[agg_content_type_Earned Income - Sponsorships/Underwriting],Table13[Scope/Content Type],$A$61,Table13[agg_content_type_Earned Income - Sponsorships/Underwriting],"&gt;0")</f>
        <v>28730.857142857152</v>
      </c>
      <c r="G71" s="164">
        <f t="shared" ref="G71:G75" si="85">F71/$F$76</f>
        <v>7.9220599659286128E-2</v>
      </c>
      <c r="H71" s="176">
        <f t="shared" ref="H71:H75" si="86">F71/$F$77</f>
        <v>3.6270952040488198E-2</v>
      </c>
      <c r="L71" s="134" t="s">
        <v>138</v>
      </c>
      <c r="M71" s="170">
        <f>SUMIF(Table13[Scope/Sub-Type],'INN Income Splits'!$A$6,Table13[agg_content_type_Earned Income - Sponsorships/Underwriting])</f>
        <v>2673769.4857142894</v>
      </c>
      <c r="N71" s="164" t="e">
        <f t="shared" ref="N71:N75" si="87">M71/$D$21</f>
        <v>#REF!</v>
      </c>
      <c r="O71" s="170">
        <f>AVERAGEIFS(Table13[agg_content_type_Earned Income - Sponsorships/Underwriting],Table13[Scope/Content Type],$J61,Table13[agg_content_type_Earned Income - Sponsorships/Underwriting],"&gt;0")</f>
        <v>104800.00444444449</v>
      </c>
      <c r="P71" s="176">
        <f t="shared" ref="P71:P75" si="88">O71/$O$76</f>
        <v>0.28467648159521802</v>
      </c>
      <c r="Q71" s="176">
        <f t="shared" ref="Q71:Q75" si="89">O71/$O$77</f>
        <v>4.9575790275478676E-2</v>
      </c>
      <c r="U71" s="134" t="s">
        <v>138</v>
      </c>
      <c r="V71" s="170">
        <f>SUMIF(Table13[Scope/Sub-Type],'INN Income Splits'!$A$6,Table13[agg_content_type_Earned Income - Sponsorships/Underwriting])</f>
        <v>2673769.4857142894</v>
      </c>
      <c r="W71" s="164" t="e">
        <f t="shared" ref="W71:W75" si="90">V71/$D$21</f>
        <v>#REF!</v>
      </c>
      <c r="X71" s="170">
        <f>AVERAGEIFS(Table13[agg_content_type_Earned Income - Sponsorships/Underwriting],Table13[Scope/Content Type],$S61,Table13[agg_content_type_Earned Income - Sponsorships/Underwriting],"&gt;0")</f>
        <v>536496.59999999986</v>
      </c>
      <c r="Y71" s="176">
        <f t="shared" ref="Y71:Y75" si="91">X71/$O$76</f>
        <v>1.4573278434998502</v>
      </c>
      <c r="Z71" s="176">
        <f t="shared" ref="Z71:Z75" si="92">X71/$O$77</f>
        <v>0.253790475163642</v>
      </c>
      <c r="AD71" s="134" t="s">
        <v>138</v>
      </c>
      <c r="AE71" s="170">
        <f>SUMIF(Table13[Scope/Sub-Type],'INN Income Splits'!$A$6,Table13[agg_content_type_Earned Income - Sponsorships/Underwriting])</f>
        <v>2673769.4857142894</v>
      </c>
      <c r="AF71" s="164" t="e">
        <f t="shared" ref="AF71:AF75" si="93">AE71/$D$21</f>
        <v>#REF!</v>
      </c>
      <c r="AG71" s="170">
        <f>AVERAGEIFS(Table13[agg_content_type_Earned Income - Sponsorships/Underwriting],Table13[Scope/Content Type],$AB61,Table13[agg_content_type_Earned Income - Sponsorships/Underwriting],"&gt;0")</f>
        <v>25975</v>
      </c>
      <c r="AH71" s="176">
        <f t="shared" ref="AH71:AH75" si="94">AG71/$AG$76</f>
        <v>4.5759088752455469E-2</v>
      </c>
      <c r="AI71" s="176">
        <f t="shared" ref="AI71:AI75" si="95">AG71/$AG$77</f>
        <v>1.045068229550547E-2</v>
      </c>
    </row>
    <row r="72" spans="1:35" x14ac:dyDescent="0.2">
      <c r="C72" s="134" t="s">
        <v>139</v>
      </c>
      <c r="D72" s="170">
        <f>SUMIF(Table13[Scope/Sub-Type],'INN Income Splits'!$A$6,Table13[agg_content_type_Earned Income - Subscriptions])</f>
        <v>7308876.0000000037</v>
      </c>
      <c r="E72" s="164" t="e">
        <f t="shared" si="84"/>
        <v>#REF!</v>
      </c>
      <c r="F72" s="170">
        <f>AVERAGEIFS(Table13[agg_content_type_Earned Income - Subscriptions],Table13[Scope/Content Type],$A$61,Table13[agg_content_type_Earned Income - Subscriptions],"&gt;0")</f>
        <v>119969.66666666663</v>
      </c>
      <c r="G72" s="164">
        <f t="shared" si="85"/>
        <v>0.33079656785042455</v>
      </c>
      <c r="H72" s="176">
        <f t="shared" si="86"/>
        <v>0.15145437549404392</v>
      </c>
      <c r="L72" s="134" t="s">
        <v>139</v>
      </c>
      <c r="M72" s="170">
        <f>SUMIF(Table13[Scope/Sub-Type],'INN Income Splits'!$A$6,Table13[agg_content_type_Earned Income - Subscriptions])</f>
        <v>7308876.0000000037</v>
      </c>
      <c r="N72" s="164" t="e">
        <f t="shared" si="87"/>
        <v>#REF!</v>
      </c>
      <c r="O72" s="170">
        <f>IFERROR(AVERAGEIFS(Table13[agg_content_type_Earned Income - Subscriptions],Table13[Scope/Content Type],$J61,Table13[agg_content_type_Earned Income - Subscriptions],"&gt;0"),0)</f>
        <v>0</v>
      </c>
      <c r="P72" s="176">
        <f t="shared" si="88"/>
        <v>0</v>
      </c>
      <c r="Q72" s="176">
        <f t="shared" si="89"/>
        <v>0</v>
      </c>
      <c r="U72" s="134" t="s">
        <v>139</v>
      </c>
      <c r="V72" s="170">
        <f>SUMIF(Table13[Scope/Sub-Type],'INN Income Splits'!$A$6,Table13[agg_content_type_Earned Income - Subscriptions])</f>
        <v>7308876.0000000037</v>
      </c>
      <c r="W72" s="164" t="e">
        <f t="shared" si="90"/>
        <v>#REF!</v>
      </c>
      <c r="X72" s="170">
        <f>IFERROR(AVERAGEIFS(Table13[agg_content_type_Earned Income - Subscriptions],Table13[Scope/Content Type],$S61,Table13[agg_content_type_Earned Income - Subscriptions],"&gt;0"),0)</f>
        <v>577903.5</v>
      </c>
      <c r="Y72" s="176">
        <f t="shared" si="91"/>
        <v>1.5698046574871414</v>
      </c>
      <c r="Z72" s="176">
        <f t="shared" si="92"/>
        <v>0.27337806775239926</v>
      </c>
      <c r="AD72" s="134" t="s">
        <v>139</v>
      </c>
      <c r="AE72" s="170">
        <f>SUMIF(Table13[Scope/Sub-Type],'INN Income Splits'!$A$6,Table13[agg_content_type_Earned Income - Subscriptions])</f>
        <v>7308876.0000000037</v>
      </c>
      <c r="AF72" s="164" t="e">
        <f t="shared" si="93"/>
        <v>#REF!</v>
      </c>
      <c r="AG72" s="170">
        <f>IFERROR(AVERAGEIFS(Table13[agg_content_type_Earned Income - Subscriptions],Table13[Scope/Content Type],$AB61,Table13[agg_content_type_Earned Income - Subscriptions],"&gt;0"),0)</f>
        <v>217480.43624999997</v>
      </c>
      <c r="AH72" s="176">
        <f t="shared" si="94"/>
        <v>0.38312633625741993</v>
      </c>
      <c r="AI72" s="176">
        <f t="shared" si="95"/>
        <v>8.7500248113057968E-2</v>
      </c>
    </row>
    <row r="73" spans="1:35" x14ac:dyDescent="0.2">
      <c r="C73" s="134" t="s">
        <v>140</v>
      </c>
      <c r="D73" s="170">
        <f>SUMIF(Table13[Scope/Sub-Type],'INN Income Splits'!$A$6,Table13[agg_content_type_Earned Income - Events])</f>
        <v>2170637.9944444466</v>
      </c>
      <c r="E73" s="164" t="e">
        <f t="shared" si="84"/>
        <v>#REF!</v>
      </c>
      <c r="F73" s="170">
        <f>AVERAGEIFS(Table13[agg_content_type_Earned Income - Events],Table13[Scope/Content Type],$A$61,Table13[agg_content_type_Earned Income - Events],"&gt;0")</f>
        <v>18363.142500000013</v>
      </c>
      <c r="G73" s="164">
        <f t="shared" si="85"/>
        <v>5.0633336598542439E-2</v>
      </c>
      <c r="H73" s="176">
        <f t="shared" si="86"/>
        <v>2.3182345643862526E-2</v>
      </c>
      <c r="L73" s="134" t="s">
        <v>140</v>
      </c>
      <c r="M73" s="170">
        <f>SUMIF(Table13[Scope/Sub-Type],'INN Income Splits'!$A$6,Table13[agg_content_type_Earned Income - Events])</f>
        <v>2170637.9944444466</v>
      </c>
      <c r="N73" s="164" t="e">
        <f t="shared" si="87"/>
        <v>#REF!</v>
      </c>
      <c r="O73" s="170">
        <f>AVERAGEIFS(Table13[agg_content_type_Earned Income - Events],Table13[Scope/Content Type],$J61,Table13[agg_content_type_Earned Income - Events],"&gt;0")</f>
        <v>50562.128333333319</v>
      </c>
      <c r="P73" s="176">
        <f t="shared" si="88"/>
        <v>0.13734587963237668</v>
      </c>
      <c r="Q73" s="176">
        <f t="shared" si="89"/>
        <v>2.3918486296095286E-2</v>
      </c>
      <c r="U73" s="134" t="s">
        <v>140</v>
      </c>
      <c r="V73" s="170">
        <f>SUMIF(Table13[Scope/Sub-Type],'INN Income Splits'!$A$6,Table13[agg_content_type_Earned Income - Events])</f>
        <v>2170637.9944444466</v>
      </c>
      <c r="W73" s="164" t="e">
        <f t="shared" si="90"/>
        <v>#REF!</v>
      </c>
      <c r="X73" s="170">
        <f>AVERAGEIFS(Table13[agg_content_type_Earned Income - Events],Table13[Scope/Content Type],$S61,Table13[agg_content_type_Earned Income - Events],"&gt;0")</f>
        <v>45634.5</v>
      </c>
      <c r="Y73" s="176">
        <f t="shared" si="91"/>
        <v>0.12396057584371258</v>
      </c>
      <c r="Z73" s="176">
        <f t="shared" si="92"/>
        <v>2.1587464746011857E-2</v>
      </c>
      <c r="AD73" s="134" t="s">
        <v>140</v>
      </c>
      <c r="AE73" s="170">
        <f>SUMIF(Table13[Scope/Sub-Type],'INN Income Splits'!$A$6,Table13[agg_content_type_Earned Income - Events])</f>
        <v>2170637.9944444466</v>
      </c>
      <c r="AF73" s="164" t="e">
        <f t="shared" si="93"/>
        <v>#REF!</v>
      </c>
      <c r="AG73" s="170">
        <f>AVERAGEIFS(Table13[agg_content_type_Earned Income - Events],Table13[Scope/Content Type],$AB61,Table13[agg_content_type_Earned Income - Events],"&gt;0")</f>
        <v>79741.199999999968</v>
      </c>
      <c r="AH73" s="176">
        <f t="shared" si="94"/>
        <v>0.14047679106938596</v>
      </c>
      <c r="AI73" s="176">
        <f t="shared" si="95"/>
        <v>3.2082769858031206E-2</v>
      </c>
    </row>
    <row r="74" spans="1:35" x14ac:dyDescent="0.2">
      <c r="C74" s="134" t="s">
        <v>251</v>
      </c>
      <c r="D74" s="170">
        <f>SUMIF(Table13[Scope/Sub-Type],'INN Income Splits'!$A$6,Table13[agg_content_type_Earned Income - Syndication])</f>
        <v>1216312.3466666662</v>
      </c>
      <c r="E74" s="164" t="e">
        <f t="shared" si="84"/>
        <v>#REF!</v>
      </c>
      <c r="F74" s="170">
        <f>AVERAGEIFS(Table13[agg_content_type_Earned Income - Syndication],Table13[Scope/Content Type],$A$61,Table13[agg_content_type_Earned Income - Syndication],"&gt;0")</f>
        <v>6696.5</v>
      </c>
      <c r="G74" s="164">
        <f t="shared" si="85"/>
        <v>1.8464494218902849E-2</v>
      </c>
      <c r="H74" s="176">
        <f t="shared" si="86"/>
        <v>8.4539221761267339E-3</v>
      </c>
      <c r="L74" s="134" t="s">
        <v>251</v>
      </c>
      <c r="M74" s="170">
        <f>SUMIF(Table13[Scope/Sub-Type],'INN Income Splits'!$A$6,Table13[agg_content_type_Earned Income - Syndication])</f>
        <v>1216312.3466666662</v>
      </c>
      <c r="N74" s="164" t="e">
        <f t="shared" si="87"/>
        <v>#REF!</v>
      </c>
      <c r="O74" s="170">
        <f>AVERAGEIFS(Table13[agg_content_type_Earned Income - Syndication],Table13[Scope/Content Type],$J61,Table13[agg_content_type_Earned Income - Syndication],"&gt;0")</f>
        <v>121522.75</v>
      </c>
      <c r="P74" s="176">
        <f t="shared" si="88"/>
        <v>0.33010178851771188</v>
      </c>
      <c r="Q74" s="176">
        <f t="shared" si="89"/>
        <v>5.7486508704235009E-2</v>
      </c>
      <c r="U74" s="134" t="s">
        <v>251</v>
      </c>
      <c r="V74" s="170">
        <f>SUMIF(Table13[Scope/Sub-Type],'INN Income Splits'!$A$6,Table13[agg_content_type_Earned Income - Syndication])</f>
        <v>1216312.3466666662</v>
      </c>
      <c r="W74" s="164" t="e">
        <f t="shared" si="90"/>
        <v>#REF!</v>
      </c>
      <c r="X74" s="170">
        <f>AVERAGEIFS(Table13[agg_content_type_Earned Income - Syndication],Table13[Scope/Content Type],$S61,Table13[agg_content_type_Earned Income - Syndication],"&gt;0")</f>
        <v>3164.5</v>
      </c>
      <c r="Y74" s="176">
        <f t="shared" si="91"/>
        <v>8.5959798454552684E-3</v>
      </c>
      <c r="Z74" s="176">
        <f t="shared" si="92"/>
        <v>1.4969711991750655E-3</v>
      </c>
      <c r="AD74" s="134" t="s">
        <v>251</v>
      </c>
      <c r="AE74" s="170">
        <f>SUMIF(Table13[Scope/Sub-Type],'INN Income Splits'!$A$6,Table13[agg_content_type_Earned Income - Syndication])</f>
        <v>1216312.3466666662</v>
      </c>
      <c r="AF74" s="164" t="e">
        <f t="shared" si="93"/>
        <v>#REF!</v>
      </c>
      <c r="AG74" s="170">
        <f>AVERAGEIFS(Table13[agg_content_type_Earned Income - Syndication],Table13[Scope/Content Type],$AB61,Table13[agg_content_type_Earned Income - Syndication],"&gt;0")</f>
        <v>46110.219999999979</v>
      </c>
      <c r="AH74" s="176">
        <f t="shared" si="94"/>
        <v>8.123047735804606E-2</v>
      </c>
      <c r="AI74" s="176">
        <f t="shared" si="95"/>
        <v>1.8551809809272842E-2</v>
      </c>
    </row>
    <row r="75" spans="1:35" x14ac:dyDescent="0.2">
      <c r="B75" s="137"/>
      <c r="C75" s="137" t="s">
        <v>248</v>
      </c>
      <c r="D75" s="181">
        <f>SUMIF(Table13[Scope/Sub-Type],'INN Income Splits'!$A$6,Table13[agg_content_type_Earned Income - Other])</f>
        <v>1890617.4600000018</v>
      </c>
      <c r="E75" s="182" t="e">
        <f t="shared" si="84"/>
        <v>#REF!</v>
      </c>
      <c r="F75" s="181">
        <f>AVERAGEIFS(Table13[agg_content_type_Earned Income - Other],Table13[Scope/Content Type],$A$61,Table13[agg_content_type_Earned Income - Other],"&gt;0")</f>
        <v>22615.821666666659</v>
      </c>
      <c r="G75" s="164">
        <f t="shared" si="85"/>
        <v>6.2359397957127506E-2</v>
      </c>
      <c r="H75" s="182">
        <f t="shared" si="86"/>
        <v>2.8551093305332745E-2</v>
      </c>
      <c r="K75" s="137"/>
      <c r="L75" s="137" t="s">
        <v>248</v>
      </c>
      <c r="M75" s="181">
        <f>SUMIF(Table13[Scope/Sub-Type],'INN Income Splits'!$A$6,Table13[agg_content_type_Earned Income - Other])</f>
        <v>1890617.4600000018</v>
      </c>
      <c r="N75" s="182" t="e">
        <f t="shared" si="87"/>
        <v>#REF!</v>
      </c>
      <c r="O75" s="181">
        <f>AVERAGEIFS(Table13[agg_content_type_Earned Income - Other],Table13[Scope/Content Type],$J61,Table13[agg_content_type_Earned Income - Other],"&gt;0")</f>
        <v>26703.322857142844</v>
      </c>
      <c r="P75" s="182">
        <f t="shared" si="88"/>
        <v>7.2536332781382495E-2</v>
      </c>
      <c r="Q75" s="182">
        <f t="shared" si="89"/>
        <v>1.2632044632458858E-2</v>
      </c>
      <c r="T75" s="137"/>
      <c r="U75" s="137" t="s">
        <v>248</v>
      </c>
      <c r="V75" s="181">
        <f>SUMIF(Table13[Scope/Sub-Type],'INN Income Splits'!$A$6,Table13[agg_content_type_Earned Income - Other])</f>
        <v>1890617.4600000018</v>
      </c>
      <c r="W75" s="182" t="e">
        <f t="shared" si="90"/>
        <v>#REF!</v>
      </c>
      <c r="X75" s="181">
        <f>AVERAGEIFS(Table13[agg_content_type_Earned Income - Other],Table13[Scope/Content Type],$S61,Table13[agg_content_type_Earned Income - Other],"&gt;0")</f>
        <v>109821.19999999997</v>
      </c>
      <c r="Y75" s="182">
        <f t="shared" si="91"/>
        <v>0.29831594937706174</v>
      </c>
      <c r="Z75" s="182">
        <f t="shared" si="92"/>
        <v>5.1951073932325689E-2</v>
      </c>
      <c r="AC75" s="137"/>
      <c r="AD75" s="137" t="s">
        <v>248</v>
      </c>
      <c r="AE75" s="181">
        <f>SUMIF(Table13[Scope/Sub-Type],'INN Income Splits'!$A$6,Table13[agg_content_type_Earned Income - Other])</f>
        <v>1890617.4600000018</v>
      </c>
      <c r="AF75" s="182" t="e">
        <f t="shared" si="93"/>
        <v>#REF!</v>
      </c>
      <c r="AG75" s="181">
        <f>AVERAGEIFS(Table13[agg_content_type_Earned Income - Other],Table13[Scope/Content Type],$AB61,Table13[agg_content_type_Earned Income - Other],"&gt;0")</f>
        <v>33078.029166666667</v>
      </c>
      <c r="AH75" s="182">
        <f t="shared" si="94"/>
        <v>5.8272202979549978E-2</v>
      </c>
      <c r="AI75" s="182">
        <f t="shared" si="95"/>
        <v>1.3308487922321345E-2</v>
      </c>
    </row>
    <row r="76" spans="1:35" ht="12.75" thickBot="1" x14ac:dyDescent="0.25">
      <c r="B76" s="211"/>
      <c r="C76" s="211" t="s">
        <v>60</v>
      </c>
      <c r="D76" s="212">
        <f>SUM(D70:D75)</f>
        <v>23388970.322722849</v>
      </c>
      <c r="E76" s="213" t="e">
        <f t="shared" ref="E76" si="96">SUM(E70:E75)</f>
        <v>#REF!</v>
      </c>
      <c r="F76" s="212">
        <f>SUM(F70:F75)</f>
        <v>362669.01874542126</v>
      </c>
      <c r="G76" s="214">
        <f>SUM(G70:G75)</f>
        <v>0.99999999999999989</v>
      </c>
      <c r="H76" s="213">
        <f>SUM(H70:H75)</f>
        <v>0.45784748154499189</v>
      </c>
      <c r="K76" s="211"/>
      <c r="L76" s="211" t="s">
        <v>60</v>
      </c>
      <c r="M76" s="212">
        <f>SUM(M70:M75)</f>
        <v>23388970.322722849</v>
      </c>
      <c r="N76" s="213" t="e">
        <f t="shared" ref="N76" si="97">SUM(N70:N75)</f>
        <v>#REF!</v>
      </c>
      <c r="O76" s="212">
        <f>SUM(O70:O75)</f>
        <v>368137.20563492068</v>
      </c>
      <c r="P76" s="214">
        <f>SUM(P70:P75)</f>
        <v>0.99999999999999989</v>
      </c>
      <c r="Q76" s="213">
        <f>SUM(Q70:Q75)</f>
        <v>0.1741478256218249</v>
      </c>
      <c r="T76" s="211"/>
      <c r="U76" s="211" t="s">
        <v>60</v>
      </c>
      <c r="V76" s="212">
        <f>SUM(V70:V75)</f>
        <v>23388970.322722849</v>
      </c>
      <c r="W76" s="213" t="e">
        <f t="shared" ref="W76" si="98">SUM(W70:W75)</f>
        <v>#REF!</v>
      </c>
      <c r="X76" s="212">
        <f>SUM(X70:X75)</f>
        <v>1335306.4666666666</v>
      </c>
      <c r="Y76" s="214">
        <f>SUM(Y70:Y75)</f>
        <v>3.6271978116519996</v>
      </c>
      <c r="Z76" s="213">
        <f>SUM(Z70:Z75)</f>
        <v>0.63166861199943714</v>
      </c>
      <c r="AC76" s="211"/>
      <c r="AD76" s="211" t="s">
        <v>60</v>
      </c>
      <c r="AE76" s="212">
        <f>SUM(AE70:AE75)</f>
        <v>23388970.322722849</v>
      </c>
      <c r="AF76" s="213" t="e">
        <f t="shared" ref="AF76" si="99">SUM(AF70:AF75)</f>
        <v>#REF!</v>
      </c>
      <c r="AG76" s="212">
        <f>SUM(AG70:AG75)</f>
        <v>567646.79341666657</v>
      </c>
      <c r="AH76" s="214">
        <f>SUM(AH70:AH75)</f>
        <v>0.99999999999999978</v>
      </c>
      <c r="AI76" s="213">
        <f>SUM(AI70:AI75)</f>
        <v>0.22838484288970196</v>
      </c>
    </row>
    <row r="77" spans="1:35" ht="12.75" thickTop="1" x14ac:dyDescent="0.2">
      <c r="A77" s="133"/>
      <c r="B77" s="133" t="s">
        <v>60</v>
      </c>
      <c r="C77" s="133"/>
      <c r="D77" s="201">
        <f>D68+D76</f>
        <v>23388970.322722849</v>
      </c>
      <c r="E77" s="165"/>
      <c r="F77" s="201">
        <f>F68+F76</f>
        <v>792117.53556360304</v>
      </c>
      <c r="G77" s="215"/>
      <c r="H77" s="165">
        <f>H76+H68</f>
        <v>1</v>
      </c>
      <c r="J77" s="133"/>
      <c r="K77" s="133" t="s">
        <v>60</v>
      </c>
      <c r="L77" s="133"/>
      <c r="M77" s="201">
        <f>M68+M76</f>
        <v>23388970.322722849</v>
      </c>
      <c r="N77" s="165"/>
      <c r="O77" s="201">
        <f>O68+O76</f>
        <v>2113935.1256349208</v>
      </c>
      <c r="P77" s="215"/>
      <c r="Q77" s="165">
        <f>Q76+Q68</f>
        <v>1</v>
      </c>
      <c r="S77" s="133"/>
      <c r="T77" s="133" t="s">
        <v>60</v>
      </c>
      <c r="U77" s="133"/>
      <c r="V77" s="201">
        <f>V68+V76</f>
        <v>23388970.322722849</v>
      </c>
      <c r="W77" s="165"/>
      <c r="X77" s="201">
        <f>X68+X76</f>
        <v>2964621.2051515151</v>
      </c>
      <c r="Y77" s="215"/>
      <c r="Z77" s="165">
        <f>Z76+Z68</f>
        <v>1.4024182526704032</v>
      </c>
      <c r="AB77" s="133"/>
      <c r="AC77" s="133" t="s">
        <v>60</v>
      </c>
      <c r="AD77" s="133"/>
      <c r="AE77" s="201">
        <f>AE68+AE76</f>
        <v>23388970.322722849</v>
      </c>
      <c r="AF77" s="165"/>
      <c r="AG77" s="201">
        <f>AG68+AG76</f>
        <v>2485483.6522177197</v>
      </c>
      <c r="AH77" s="215"/>
      <c r="AI77" s="165">
        <f>AI76+AI68</f>
        <v>1</v>
      </c>
    </row>
    <row r="79" spans="1:35" x14ac:dyDescent="0.2">
      <c r="A79" s="217" t="s">
        <v>290</v>
      </c>
      <c r="B79" s="218"/>
      <c r="C79" s="218"/>
      <c r="D79" s="218"/>
      <c r="E79" s="218"/>
      <c r="F79" s="218"/>
      <c r="G79" s="218"/>
      <c r="H79" s="218"/>
      <c r="J79" s="217" t="s">
        <v>291</v>
      </c>
      <c r="K79" s="218"/>
      <c r="L79" s="218"/>
      <c r="M79" s="218"/>
      <c r="N79" s="218"/>
      <c r="O79" s="218"/>
      <c r="P79" s="218"/>
      <c r="Q79" s="218"/>
      <c r="S79" s="217" t="s">
        <v>292</v>
      </c>
      <c r="T79" s="218"/>
      <c r="U79" s="218"/>
      <c r="V79" s="218"/>
      <c r="W79" s="218"/>
      <c r="X79" s="218"/>
      <c r="Y79" s="218"/>
      <c r="Z79" s="218"/>
      <c r="AB79" s="217" t="s">
        <v>293</v>
      </c>
      <c r="AC79" s="218"/>
      <c r="AD79" s="218"/>
      <c r="AE79" s="218"/>
      <c r="AF79" s="218"/>
      <c r="AG79" s="218"/>
      <c r="AH79" s="218"/>
      <c r="AI79" s="218"/>
    </row>
    <row r="80" spans="1:35" ht="24" x14ac:dyDescent="0.2">
      <c r="A80" s="166"/>
      <c r="B80" s="166"/>
      <c r="C80" s="166"/>
      <c r="D80" s="166" t="s">
        <v>269</v>
      </c>
      <c r="E80" s="166" t="s">
        <v>282</v>
      </c>
      <c r="F80" s="166" t="s">
        <v>283</v>
      </c>
      <c r="G80" s="166" t="s">
        <v>284</v>
      </c>
      <c r="H80" s="166" t="s">
        <v>285</v>
      </c>
      <c r="J80" s="166"/>
      <c r="K80" s="166"/>
      <c r="L80" s="166"/>
      <c r="M80" s="166" t="s">
        <v>269</v>
      </c>
      <c r="N80" s="166" t="s">
        <v>282</v>
      </c>
      <c r="O80" s="166" t="s">
        <v>283</v>
      </c>
      <c r="P80" s="166" t="s">
        <v>284</v>
      </c>
      <c r="Q80" s="166" t="s">
        <v>285</v>
      </c>
      <c r="S80" s="166"/>
      <c r="T80" s="166"/>
      <c r="U80" s="166"/>
      <c r="V80" s="166" t="s">
        <v>269</v>
      </c>
      <c r="W80" s="166" t="s">
        <v>282</v>
      </c>
      <c r="X80" s="166" t="s">
        <v>283</v>
      </c>
      <c r="Y80" s="166" t="s">
        <v>284</v>
      </c>
      <c r="Z80" s="166" t="s">
        <v>285</v>
      </c>
      <c r="AB80" s="166"/>
      <c r="AC80" s="166"/>
      <c r="AD80" s="166"/>
      <c r="AE80" s="166" t="s">
        <v>269</v>
      </c>
      <c r="AF80" s="166" t="s">
        <v>282</v>
      </c>
      <c r="AG80" s="166" t="s">
        <v>283</v>
      </c>
      <c r="AH80" s="166" t="s">
        <v>284</v>
      </c>
      <c r="AI80" s="166" t="s">
        <v>285</v>
      </c>
    </row>
    <row r="81" spans="1:35" x14ac:dyDescent="0.2">
      <c r="B81" s="134" t="s">
        <v>246</v>
      </c>
      <c r="D81" s="170"/>
      <c r="K81" s="134" t="s">
        <v>246</v>
      </c>
      <c r="M81" s="170"/>
      <c r="T81" s="134" t="s">
        <v>246</v>
      </c>
      <c r="V81" s="170"/>
      <c r="AC81" s="134" t="s">
        <v>246</v>
      </c>
      <c r="AE81" s="170"/>
    </row>
    <row r="82" spans="1:35" x14ac:dyDescent="0.2">
      <c r="C82" s="134" t="s">
        <v>134</v>
      </c>
      <c r="D82" s="170">
        <f>SUMIF(Table13[Scope/Sub-Type],'INN Income Splits'!A79,Table13[agg_content_type_Cont. Income - Foundations])</f>
        <v>0</v>
      </c>
      <c r="E82" s="164" t="e">
        <f>D82/$D$13</f>
        <v>#REF!</v>
      </c>
      <c r="F82" s="170">
        <f>AVERAGEIFS(Table13[agg_content_type_Cont. Income - Foundations],Table13[Scope/Content Type],$A79,Table13[agg_content_type_Cont. Income - Foundations],"&gt;0")</f>
        <v>199414.17391304357</v>
      </c>
      <c r="G82" s="176">
        <f>F82/$F$86</f>
        <v>0.45220934091677495</v>
      </c>
      <c r="H82" s="176">
        <f>F82/$F$95</f>
        <v>0.28139818160890856</v>
      </c>
      <c r="L82" s="134" t="s">
        <v>134</v>
      </c>
      <c r="M82" s="170">
        <f>SUMIF(Table13[Scope/Sub-Type],'INN Income Splits'!J79,Table13[agg_content_type_Cont. Income - Foundations])</f>
        <v>0</v>
      </c>
      <c r="N82" s="164" t="e">
        <f>M82/$D$13</f>
        <v>#REF!</v>
      </c>
      <c r="O82" s="170">
        <f>AVERAGEIFS(Table13[agg_content_type_Cont. Income - Foundations],Table13[Scope/Content Type],$J79,Table13[agg_content_type_Cont. Income - Foundations],"&gt;0")</f>
        <v>522940.39699999988</v>
      </c>
      <c r="P82" s="176">
        <f>O82/$O$86</f>
        <v>0.43211312769614713</v>
      </c>
      <c r="Q82" s="176">
        <f>O82/$O$95</f>
        <v>0.11821920006793418</v>
      </c>
      <c r="U82" s="134" t="s">
        <v>134</v>
      </c>
      <c r="V82" s="170">
        <f>SUMIF(Table13[Scope/Sub-Type],'INN Income Splits'!S79,Table13[agg_content_type_Cont. Income - Foundations])</f>
        <v>0</v>
      </c>
      <c r="W82" s="164" t="e">
        <f>V82/$D$13</f>
        <v>#REF!</v>
      </c>
      <c r="X82" s="170">
        <f>AVERAGEIFS(Table13[agg_content_type_Cont. Income - Foundations],Table13[Scope/Content Type],$S79,Table13[agg_content_type_Cont. Income - Foundations],"&gt;0")</f>
        <v>182986.57142857139</v>
      </c>
      <c r="Y82" s="176">
        <f>X82/$X$86</f>
        <v>0.51056588984340268</v>
      </c>
      <c r="Z82" s="176">
        <f>X82/$X$95</f>
        <v>0.42614327520209172</v>
      </c>
      <c r="AD82" s="134" t="s">
        <v>134</v>
      </c>
      <c r="AE82" s="170">
        <f>SUMIF(Table13[Scope/Sub-Type],'INN Income Splits'!AB79,Table13[agg_content_type_Cont. Income - Foundations])</f>
        <v>0</v>
      </c>
      <c r="AF82" s="164" t="e">
        <f>AE82/$D$13</f>
        <v>#REF!</v>
      </c>
      <c r="AG82" s="170">
        <f>AVERAGEIFS(Table13[agg_content_type_Cont. Income - Foundations],Table13[Scope/Content Type],$AB79,Table13[agg_content_type_Cont. Income - Foundations],"&gt;0")</f>
        <v>2094934.8691666657</v>
      </c>
      <c r="AH82" s="176">
        <f>AG82/$AG$86</f>
        <v>0.36648348514922102</v>
      </c>
      <c r="AI82" s="176">
        <f>AG82/$AG$95</f>
        <v>0.34086264506349134</v>
      </c>
    </row>
    <row r="83" spans="1:35" x14ac:dyDescent="0.2">
      <c r="C83" s="134" t="s">
        <v>135</v>
      </c>
      <c r="D83" s="170">
        <f>SUMIF(Table13[Scope/Sub-Type],'INN Income Splits'!A79,Table13[agg_content_type_Cont. Income - Membership])</f>
        <v>0</v>
      </c>
      <c r="E83" s="164" t="e">
        <f t="shared" ref="E83:E85" si="100">D83/$D$13</f>
        <v>#REF!</v>
      </c>
      <c r="F83" s="170">
        <f>AVERAGEIFS(Table13[agg_content_type_Cont. Income - Membership],Table13[Scope/Content Type],$A79,Table13[agg_content_type_Cont. Income - Membership],"&gt;0")</f>
        <v>43962.375</v>
      </c>
      <c r="G83" s="176">
        <f t="shared" ref="G83:G85" si="101">F83/$F$86</f>
        <v>9.9692996910816636E-2</v>
      </c>
      <c r="H83" s="176">
        <f t="shared" ref="H83:H85" si="102">F83/$F$95</f>
        <v>6.2036374553813819E-2</v>
      </c>
      <c r="L83" s="134" t="s">
        <v>135</v>
      </c>
      <c r="M83" s="170">
        <f>SUMIF(Table13[Scope/Sub-Type],'INN Income Splits'!J79,Table13[agg_content_type_Cont. Income - Membership])</f>
        <v>0</v>
      </c>
      <c r="N83" s="164" t="e">
        <f t="shared" ref="N83:N85" si="103">M83/$D$13</f>
        <v>#REF!</v>
      </c>
      <c r="O83" s="170">
        <f>AVERAGEIFS(Table13[agg_content_type_Cont. Income - Membership],Table13[Scope/Content Type],$J79,Table13[agg_content_type_Cont. Income - Membership],"&gt;0")</f>
        <v>304355.3333333332</v>
      </c>
      <c r="P83" s="176">
        <f t="shared" ref="P83:P85" si="104">O83/$O$86</f>
        <v>0.25149316398608629</v>
      </c>
      <c r="Q83" s="176">
        <f t="shared" ref="Q83:Q85" si="105">O83/$O$95</f>
        <v>6.8804483741339489E-2</v>
      </c>
      <c r="U83" s="134" t="s">
        <v>135</v>
      </c>
      <c r="V83" s="170">
        <f>SUMIF(Table13[Scope/Sub-Type],'INN Income Splits'!S79,Table13[agg_content_type_Cont. Income - Membership])</f>
        <v>0</v>
      </c>
      <c r="W83" s="164" t="e">
        <f t="shared" ref="W83:W85" si="106">V83/$D$13</f>
        <v>#REF!</v>
      </c>
      <c r="X83" s="170">
        <f>AVERAGEIFS(Table13[agg_content_type_Cont. Income - Membership],Table13[Scope/Content Type],$S79,Table13[agg_content_type_Cont. Income - Membership],"&gt;0")</f>
        <v>95892.333333333343</v>
      </c>
      <c r="Y83" s="176">
        <f t="shared" ref="Y83:Y85" si="107">X83/$X$86</f>
        <v>0.2675570896556459</v>
      </c>
      <c r="Z83" s="176">
        <f t="shared" ref="Z83:Z85" si="108">X83/$X$95</f>
        <v>0.22331623940715536</v>
      </c>
      <c r="AD83" s="134" t="s">
        <v>135</v>
      </c>
      <c r="AE83" s="170">
        <f>SUMIF(Table13[Scope/Sub-Type],'INN Income Splits'!AB79,Table13[agg_content_type_Cont. Income - Membership])</f>
        <v>0</v>
      </c>
      <c r="AF83" s="164" t="e">
        <f t="shared" ref="AF83:AF85" si="109">AE83/$D$13</f>
        <v>#REF!</v>
      </c>
      <c r="AG83" s="170">
        <f>AVERAGEIFS(Table13[agg_content_type_Cont. Income - Membership],Table13[Scope/Content Type],$AB79,Table13[agg_content_type_Cont. Income - Membership],"&gt;0")</f>
        <v>1156615.4600000004</v>
      </c>
      <c r="AH83" s="176">
        <f t="shared" ref="AH83:AH85" si="110">AG83/$AG$86</f>
        <v>0.20233586781000165</v>
      </c>
      <c r="AI83" s="176">
        <f t="shared" ref="AI83:AI85" si="111">AG83/$AG$95</f>
        <v>0.18819057853276011</v>
      </c>
    </row>
    <row r="84" spans="1:35" x14ac:dyDescent="0.2">
      <c r="C84" s="134" t="s">
        <v>247</v>
      </c>
      <c r="D84" s="170">
        <f>SUMIF(Table13[Scope/Sub-Type],'INN Income Splits'!A79,Table13[agg_content_type_Total Individual Donations])</f>
        <v>0</v>
      </c>
      <c r="E84" s="164" t="e">
        <f t="shared" si="100"/>
        <v>#REF!</v>
      </c>
      <c r="F84" s="170">
        <f>AVERAGEIFS(Table13[agg_content_type_Total Individual Donations],Table13[Scope/Content Type],$A79,Table13[agg_content_type_Total Individual Donations],"&gt;0")</f>
        <v>134437.44083333338</v>
      </c>
      <c r="G84" s="176">
        <f t="shared" si="101"/>
        <v>0.30486231405140418</v>
      </c>
      <c r="H84" s="176">
        <f t="shared" si="102"/>
        <v>0.18970793624304544</v>
      </c>
      <c r="L84" s="134" t="s">
        <v>247</v>
      </c>
      <c r="M84" s="170">
        <f>SUMIF(Table13[Scope/Sub-Type],'INN Income Splits'!J79,Table13[agg_content_type_Total Individual Donations])</f>
        <v>0</v>
      </c>
      <c r="N84" s="164" t="e">
        <f t="shared" si="103"/>
        <v>#REF!</v>
      </c>
      <c r="O84" s="170">
        <f>AVERAGEIFS(Table13[agg_content_type_Total Individual Donations],Table13[Scope/Content Type],$J79,Table13[agg_content_type_Total Individual Donations],"&gt;0")</f>
        <v>342084.29250000021</v>
      </c>
      <c r="P84" s="176">
        <f t="shared" si="104"/>
        <v>0.28266914244129193</v>
      </c>
      <c r="Q84" s="176">
        <f t="shared" si="105"/>
        <v>7.7333729899538142E-2</v>
      </c>
      <c r="U84" s="134" t="s">
        <v>247</v>
      </c>
      <c r="V84" s="170">
        <f>SUMIF(Table13[Scope/Sub-Type],'INN Income Splits'!S79,Table13[agg_content_type_Total Individual Donations])</f>
        <v>0</v>
      </c>
      <c r="W84" s="164" t="e">
        <f t="shared" si="106"/>
        <v>#REF!</v>
      </c>
      <c r="X84" s="170">
        <f>AVERAGEIFS(Table13[agg_content_type_Total Individual Donations],Table13[Scope/Content Type],$S79,Table13[agg_content_type_Total Individual Donations],"&gt;0")</f>
        <v>79520.618333333332</v>
      </c>
      <c r="Y84" s="176">
        <f t="shared" si="107"/>
        <v>0.22187702050095137</v>
      </c>
      <c r="Z84" s="176">
        <f t="shared" si="108"/>
        <v>0.18518941842620396</v>
      </c>
      <c r="AD84" s="134" t="s">
        <v>247</v>
      </c>
      <c r="AE84" s="170">
        <f>SUMIF(Table13[Scope/Sub-Type],'INN Income Splits'!AB79,Table13[agg_content_type_Total Individual Donations])</f>
        <v>0</v>
      </c>
      <c r="AF84" s="164" t="e">
        <f t="shared" si="109"/>
        <v>#REF!</v>
      </c>
      <c r="AG84" s="170">
        <f>AVERAGEIFS(Table13[agg_content_type_Total Individual Donations],Table13[Scope/Content Type],$AB79,Table13[agg_content_type_Total Individual Donations],"&gt;0")</f>
        <v>2290264.1953846146</v>
      </c>
      <c r="AH84" s="176">
        <f t="shared" si="110"/>
        <v>0.40065398528160867</v>
      </c>
      <c r="AI84" s="176">
        <f t="shared" si="111"/>
        <v>0.37264428743006495</v>
      </c>
    </row>
    <row r="85" spans="1:35" x14ac:dyDescent="0.2">
      <c r="B85" s="137"/>
      <c r="C85" s="137" t="s">
        <v>248</v>
      </c>
      <c r="D85" s="181">
        <f>SUMIF(Table13[Scope/Sub-Type],'INN Income Splits'!A79,Table13[agg_content_type_Cont. Income - Other])</f>
        <v>0</v>
      </c>
      <c r="E85" s="182" t="e">
        <f t="shared" si="100"/>
        <v>#REF!</v>
      </c>
      <c r="F85" s="181">
        <f>AVERAGEIFS(Table13[agg_content_type_Cont. Income - Other],Table13[Scope/Content Type],$A79,Table13[agg_content_type_Cont. Income - Other],"&gt;0")</f>
        <v>63163.574999999968</v>
      </c>
      <c r="G85" s="182">
        <f t="shared" si="101"/>
        <v>0.14323534812100419</v>
      </c>
      <c r="H85" s="182">
        <f t="shared" si="102"/>
        <v>8.9131653984979409E-2</v>
      </c>
      <c r="K85" s="137"/>
      <c r="L85" s="137" t="s">
        <v>248</v>
      </c>
      <c r="M85" s="181">
        <f>SUMIF(Table13[Scope/Sub-Type],'INN Income Splits'!J79,Table13[agg_content_type_Cont. Income - Other])</f>
        <v>0</v>
      </c>
      <c r="N85" s="182" t="e">
        <f t="shared" si="103"/>
        <v>#REF!</v>
      </c>
      <c r="O85" s="181">
        <f>AVERAGEIFS(Table13[agg_content_type_Cont. Income - Other],Table13[Scope/Content Type],$J79,Table13[agg_content_type_Cont. Income - Other],"&gt;0")</f>
        <v>40813.242500000022</v>
      </c>
      <c r="P85" s="182">
        <f t="shared" si="104"/>
        <v>3.3724565876474696E-2</v>
      </c>
      <c r="Q85" s="182">
        <f t="shared" si="105"/>
        <v>9.2264986759640552E-3</v>
      </c>
      <c r="T85" s="137"/>
      <c r="U85" s="137" t="s">
        <v>248</v>
      </c>
      <c r="V85" s="181">
        <f>SUMIF(Table13[Scope/Sub-Type],'INN Income Splits'!S79,Table13[agg_content_type_Cont. Income - Other])</f>
        <v>0</v>
      </c>
      <c r="W85" s="182" t="e">
        <f t="shared" si="106"/>
        <v>#REF!</v>
      </c>
      <c r="X85" s="181">
        <f>IFERROR(AVERAGEIFS(Table13[agg_content_type_Cont. Income - Other],Table13[Scope/Content Type],$S79,Table13[agg_content_type_Cont. Income - Other],"&gt;0"),0)</f>
        <v>0</v>
      </c>
      <c r="Y85" s="182">
        <f t="shared" si="107"/>
        <v>0</v>
      </c>
      <c r="Z85" s="182">
        <f t="shared" si="108"/>
        <v>0</v>
      </c>
      <c r="AC85" s="137"/>
      <c r="AD85" s="137" t="s">
        <v>248</v>
      </c>
      <c r="AE85" s="181">
        <f>SUMIF(Table13[Scope/Sub-Type],'INN Income Splits'!AB79,Table13[agg_content_type_Cont. Income - Other])</f>
        <v>0</v>
      </c>
      <c r="AF85" s="182" t="e">
        <f t="shared" si="109"/>
        <v>#REF!</v>
      </c>
      <c r="AG85" s="181">
        <f>IFERROR(AVERAGEIFS(Table13[agg_content_type_Cont. Income - Other],Table13[Scope/Content Type],$AB79,Table13[agg_content_type_Cont. Income - Other],"&gt;0"),0)</f>
        <v>174500</v>
      </c>
      <c r="AH85" s="182">
        <f t="shared" si="110"/>
        <v>3.0526661759168666E-2</v>
      </c>
      <c r="AI85" s="182">
        <f t="shared" si="111"/>
        <v>2.8392544531582367E-2</v>
      </c>
    </row>
    <row r="86" spans="1:35" x14ac:dyDescent="0.2">
      <c r="C86" s="134" t="s">
        <v>60</v>
      </c>
      <c r="D86" s="170">
        <f>SUM(D82:D85)</f>
        <v>0</v>
      </c>
      <c r="E86" s="186" t="e">
        <f>SUM(E82:E85)</f>
        <v>#REF!</v>
      </c>
      <c r="F86" s="191">
        <f>SUM(F82:F85)</f>
        <v>440977.56474637694</v>
      </c>
      <c r="G86" s="186">
        <f>SUM(G82:G85)</f>
        <v>1</v>
      </c>
      <c r="H86" s="186">
        <f>SUM(H82:H85)</f>
        <v>0.6222741463907473</v>
      </c>
      <c r="L86" s="134" t="s">
        <v>60</v>
      </c>
      <c r="M86" s="170">
        <f>SUM(M82:M85)</f>
        <v>0</v>
      </c>
      <c r="N86" s="186" t="e">
        <f>SUM(N82:N85)</f>
        <v>#REF!</v>
      </c>
      <c r="O86" s="191">
        <f>SUM(O82:O85)</f>
        <v>1210193.2653333333</v>
      </c>
      <c r="P86" s="186">
        <f>SUM(P82:P85)</f>
        <v>1</v>
      </c>
      <c r="Q86" s="186">
        <f>SUM(Q82:Q85)</f>
        <v>0.27358391238477586</v>
      </c>
      <c r="U86" s="134" t="s">
        <v>60</v>
      </c>
      <c r="V86" s="170">
        <f>SUM(V82:V85)</f>
        <v>0</v>
      </c>
      <c r="W86" s="186" t="e">
        <f>SUM(W82:W85)</f>
        <v>#REF!</v>
      </c>
      <c r="X86" s="191">
        <f>SUM(X82:X85)</f>
        <v>358399.52309523808</v>
      </c>
      <c r="Y86" s="186">
        <f>SUM(Y82:Y85)</f>
        <v>0.99999999999999989</v>
      </c>
      <c r="Z86" s="186">
        <f>SUM(Z82:Z85)</f>
        <v>0.83464893303545107</v>
      </c>
      <c r="AD86" s="134" t="s">
        <v>60</v>
      </c>
      <c r="AE86" s="170">
        <f>SUM(AE82:AE85)</f>
        <v>0</v>
      </c>
      <c r="AF86" s="186" t="e">
        <f>SUM(AF82:AF85)</f>
        <v>#REF!</v>
      </c>
      <c r="AG86" s="191">
        <f>SUM(AG82:AG85)</f>
        <v>5716314.5245512808</v>
      </c>
      <c r="AH86" s="186">
        <f>SUM(AH82:AH85)</f>
        <v>1</v>
      </c>
      <c r="AI86" s="186">
        <f>SUM(AI82:AI85)</f>
        <v>0.93009005555789881</v>
      </c>
    </row>
    <row r="87" spans="1:35" x14ac:dyDescent="0.2">
      <c r="B87" s="134" t="s">
        <v>250</v>
      </c>
      <c r="K87" s="134" t="s">
        <v>250</v>
      </c>
      <c r="T87" s="134" t="s">
        <v>250</v>
      </c>
      <c r="AC87" s="134" t="s">
        <v>250</v>
      </c>
    </row>
    <row r="88" spans="1:35" x14ac:dyDescent="0.2">
      <c r="C88" s="134" t="s">
        <v>137</v>
      </c>
      <c r="D88" s="170">
        <f>SUMIF(Table13[Scope/Sub-Type],'INN Income Splits'!$A$6,Table13[agg_content_type_Earned Income - Advertising])</f>
        <v>8128757.0358974375</v>
      </c>
      <c r="E88" s="164" t="e">
        <f>D88/$D$21</f>
        <v>#REF!</v>
      </c>
      <c r="F88" s="170">
        <f>AVERAGEIFS(Table13[agg_content_type_Earned Income - Advertising],Table13[Scope/Content Type],$A79,Table13[agg_content_type_Earned Income - Advertising],"&gt;0")</f>
        <v>151903.875</v>
      </c>
      <c r="G88" s="176">
        <f>F88/$F$94</f>
        <v>0.5674889432294844</v>
      </c>
      <c r="H88" s="176">
        <f>F88/$F$95</f>
        <v>0.21435524549516979</v>
      </c>
      <c r="L88" s="134" t="s">
        <v>137</v>
      </c>
      <c r="M88" s="170">
        <f>SUMIF(Table13[Scope/Sub-Type],'INN Income Splits'!$A$6,Table13[agg_content_type_Earned Income - Advertising])</f>
        <v>8128757.0358974375</v>
      </c>
      <c r="N88" s="164" t="e">
        <f>M88/$D$21</f>
        <v>#REF!</v>
      </c>
      <c r="O88" s="170">
        <f>AVERAGEIFS(Table13[agg_content_type_Earned Income - Advertising],Table13[Scope/Content Type],$J79,Table13[agg_content_type_Earned Income - Advertising],"&gt;0")</f>
        <v>501305</v>
      </c>
      <c r="P88" s="176">
        <f>O88/$O$94</f>
        <v>0.15600998914559322</v>
      </c>
      <c r="Q88" s="176">
        <f>O88/$O$95</f>
        <v>0.11332816594403541</v>
      </c>
      <c r="U88" s="134" t="s">
        <v>137</v>
      </c>
      <c r="V88" s="170">
        <f>SUMIF(Table13[Scope/Sub-Type],'INN Income Splits'!$A$6,Table13[agg_content_type_Earned Income - Advertising])</f>
        <v>8128757.0358974375</v>
      </c>
      <c r="W88" s="164" t="e">
        <f>V88/$D$21</f>
        <v>#REF!</v>
      </c>
      <c r="X88" s="170">
        <f>IFERROR(AVERAGEIFS(Table13[agg_content_type_Earned Income - Advertising],Table13[Scope/Content Type],$S79,Table13[agg_content_type_Earned Income - Advertising],"&gt;0"),0)</f>
        <v>0</v>
      </c>
      <c r="Y88" s="176">
        <f>X88/$X$94</f>
        <v>0</v>
      </c>
      <c r="Z88" s="176">
        <f>X88/$X$95</f>
        <v>0</v>
      </c>
      <c r="AD88" s="134" t="s">
        <v>137</v>
      </c>
      <c r="AE88" s="170">
        <f>SUMIF(Table13[Scope/Sub-Type],'INN Income Splits'!$A$6,Table13[agg_content_type_Earned Income - Advertising])</f>
        <v>8128757.0358974375</v>
      </c>
      <c r="AF88" s="164" t="e">
        <f>AE88/$D$21</f>
        <v>#REF!</v>
      </c>
      <c r="AG88" s="170">
        <f>IFERROR(AVERAGEIFS(Table13[agg_content_type_Earned Income - Advertising],Table13[Scope/Content Type],$AB79,Table13[agg_content_type_Earned Income - Advertising],"&gt;0"),0)</f>
        <v>56713.571428571449</v>
      </c>
      <c r="AH88" s="176">
        <f>AG88/$AG$94</f>
        <v>0.1319948310128839</v>
      </c>
      <c r="AI88" s="176">
        <f>AG88/$AG$95</f>
        <v>9.2277513027552577E-3</v>
      </c>
    </row>
    <row r="89" spans="1:35" x14ac:dyDescent="0.2">
      <c r="C89" s="134" t="s">
        <v>138</v>
      </c>
      <c r="D89" s="170">
        <f>SUMIF(Table13[Scope/Sub-Type],'INN Income Splits'!$A$6,Table13[agg_content_type_Earned Income - Sponsorships/Underwriting])</f>
        <v>2673769.4857142894</v>
      </c>
      <c r="E89" s="164" t="e">
        <f t="shared" ref="E89:E93" si="112">D89/$D$21</f>
        <v>#REF!</v>
      </c>
      <c r="F89" s="170">
        <f>AVERAGEIFS(Table13[agg_content_type_Earned Income - Sponsorships/Underwriting],Table13[Scope/Content Type],$A79,Table13[agg_content_type_Earned Income - Sponsorships/Underwriting],"&gt;0")</f>
        <v>5731.6000000000022</v>
      </c>
      <c r="G89" s="176">
        <f t="shared" ref="G89:G93" si="113">F89/$F$94</f>
        <v>2.1412354536802396E-2</v>
      </c>
      <c r="H89" s="176">
        <f t="shared" ref="H89:H93" si="114">F89/$F$95</f>
        <v>8.0879998951976419E-3</v>
      </c>
      <c r="L89" s="134" t="s">
        <v>138</v>
      </c>
      <c r="M89" s="170">
        <f>SUMIF(Table13[Scope/Sub-Type],'INN Income Splits'!$A$6,Table13[agg_content_type_Earned Income - Sponsorships/Underwriting])</f>
        <v>2673769.4857142894</v>
      </c>
      <c r="N89" s="164" t="e">
        <f t="shared" ref="N89:N93" si="115">M89/$D$21</f>
        <v>#REF!</v>
      </c>
      <c r="O89" s="170">
        <f>AVERAGEIFS(Table13[agg_content_type_Earned Income - Sponsorships/Underwriting],Table13[Scope/Content Type],$J79,Table13[agg_content_type_Earned Income - Sponsorships/Underwriting],"&gt;0")</f>
        <v>258030</v>
      </c>
      <c r="P89" s="176">
        <f t="shared" ref="P89:P93" si="116">O89/$O$94</f>
        <v>8.0300929572291152E-2</v>
      </c>
      <c r="Q89" s="176">
        <f t="shared" ref="Q89:Q93" si="117">O89/$O$95</f>
        <v>5.8331887091769397E-2</v>
      </c>
      <c r="U89" s="134" t="s">
        <v>138</v>
      </c>
      <c r="V89" s="170">
        <f>SUMIF(Table13[Scope/Sub-Type],'INN Income Splits'!$A$6,Table13[agg_content_type_Earned Income - Sponsorships/Underwriting])</f>
        <v>2673769.4857142894</v>
      </c>
      <c r="W89" s="164" t="e">
        <f t="shared" ref="W89:W93" si="118">V89/$D$21</f>
        <v>#REF!</v>
      </c>
      <c r="X89" s="170">
        <f>IFERROR(AVERAGEIFS(Table13[agg_content_type_Earned Income - Sponsorships/Underwriting],Table13[Scope/Content Type],$S79,Table13[agg_content_type_Earned Income - Sponsorships/Underwriting],"&gt;0"),0)</f>
        <v>0</v>
      </c>
      <c r="Y89" s="176">
        <f t="shared" ref="Y89:Y93" si="119">X89/$X$94</f>
        <v>0</v>
      </c>
      <c r="Z89" s="176">
        <f t="shared" ref="Z89:Z93" si="120">X89/$X$95</f>
        <v>0</v>
      </c>
      <c r="AD89" s="134" t="s">
        <v>138</v>
      </c>
      <c r="AE89" s="170">
        <f>SUMIF(Table13[Scope/Sub-Type],'INN Income Splits'!$A$6,Table13[agg_content_type_Earned Income - Sponsorships/Underwriting])</f>
        <v>2673769.4857142894</v>
      </c>
      <c r="AF89" s="164" t="e">
        <f t="shared" ref="AF89:AF93" si="121">AE89/$D$21</f>
        <v>#REF!</v>
      </c>
      <c r="AG89" s="170">
        <f>IFERROR(AVERAGEIFS(Table13[agg_content_type_Earned Income - Sponsorships/Underwriting],Table13[Scope/Content Type],$AB79,Table13[agg_content_type_Earned Income - Sponsorships/Underwriting],"&gt;0"),0)</f>
        <v>164065.25</v>
      </c>
      <c r="AH89" s="176">
        <f t="shared" ref="AH89:AH93" si="122">AG89/$AG$94</f>
        <v>0.38184449336101411</v>
      </c>
      <c r="AI89" s="176">
        <f t="shared" ref="AI89:AI93" si="123">AG89/$AG$95</f>
        <v>2.6694727316390797E-2</v>
      </c>
    </row>
    <row r="90" spans="1:35" x14ac:dyDescent="0.2">
      <c r="C90" s="134" t="s">
        <v>139</v>
      </c>
      <c r="D90" s="170">
        <f>SUMIF(Table13[Scope/Sub-Type],'INN Income Splits'!$A$6,Table13[agg_content_type_Earned Income - Subscriptions])</f>
        <v>7308876.0000000037</v>
      </c>
      <c r="E90" s="164" t="e">
        <f t="shared" si="112"/>
        <v>#REF!</v>
      </c>
      <c r="F90" s="170">
        <f>AVERAGEIFS(Table13[agg_content_type_Earned Income - Subscriptions],Table13[Scope/Content Type],$A79,Table13[agg_content_type_Earned Income - Subscriptions],"&gt;0")</f>
        <v>11781.5</v>
      </c>
      <c r="G90" s="176">
        <f t="shared" si="113"/>
        <v>4.40138277226843E-2</v>
      </c>
      <c r="H90" s="176">
        <f t="shared" si="114"/>
        <v>1.6625160647161522E-2</v>
      </c>
      <c r="L90" s="134" t="s">
        <v>139</v>
      </c>
      <c r="M90" s="170">
        <f>SUMIF(Table13[Scope/Sub-Type],'INN Income Splits'!$A$6,Table13[agg_content_type_Earned Income - Subscriptions])</f>
        <v>7308876.0000000037</v>
      </c>
      <c r="N90" s="164" t="e">
        <f t="shared" si="115"/>
        <v>#REF!</v>
      </c>
      <c r="O90" s="170">
        <f>AVERAGEIFS(Table13[agg_content_type_Earned Income - Subscriptions],Table13[Scope/Content Type],$J79,Table13[agg_content_type_Earned Income - Subscriptions],"&gt;0")</f>
        <v>674937</v>
      </c>
      <c r="P90" s="176">
        <f t="shared" si="116"/>
        <v>0.21004560904830241</v>
      </c>
      <c r="Q90" s="176">
        <f t="shared" si="117"/>
        <v>0.15258050954562477</v>
      </c>
      <c r="U90" s="134" t="s">
        <v>139</v>
      </c>
      <c r="V90" s="170">
        <f>SUMIF(Table13[Scope/Sub-Type],'INN Income Splits'!$A$6,Table13[agg_content_type_Earned Income - Subscriptions])</f>
        <v>7308876.0000000037</v>
      </c>
      <c r="W90" s="164" t="e">
        <f t="shared" si="118"/>
        <v>#REF!</v>
      </c>
      <c r="X90" s="170">
        <f>IFERROR(AVERAGEIFS(Table13[agg_content_type_Earned Income - Subscriptions],Table13[Scope/Content Type],$S79,Table13[agg_content_type_Earned Income - Subscriptions],"&gt;0"),0)</f>
        <v>0</v>
      </c>
      <c r="Y90" s="176">
        <f t="shared" si="119"/>
        <v>0</v>
      </c>
      <c r="Z90" s="176">
        <f t="shared" si="120"/>
        <v>0</v>
      </c>
      <c r="AD90" s="134" t="s">
        <v>139</v>
      </c>
      <c r="AE90" s="170">
        <f>SUMIF(Table13[Scope/Sub-Type],'INN Income Splits'!$A$6,Table13[agg_content_type_Earned Income - Subscriptions])</f>
        <v>7308876.0000000037</v>
      </c>
      <c r="AF90" s="164" t="e">
        <f t="shared" si="121"/>
        <v>#REF!</v>
      </c>
      <c r="AG90" s="170">
        <f>IFERROR(AVERAGEIFS(Table13[agg_content_type_Earned Income - Subscriptions],Table13[Scope/Content Type],$AB79,Table13[agg_content_type_Earned Income - Subscriptions],"&gt;0"),0)</f>
        <v>59330</v>
      </c>
      <c r="AH90" s="176">
        <f t="shared" si="122"/>
        <v>0.13808429140911294</v>
      </c>
      <c r="AI90" s="176">
        <f t="shared" si="123"/>
        <v>9.6534651407380045E-3</v>
      </c>
    </row>
    <row r="91" spans="1:35" x14ac:dyDescent="0.2">
      <c r="C91" s="134" t="s">
        <v>140</v>
      </c>
      <c r="D91" s="170">
        <f>SUMIF(Table13[Scope/Sub-Type],'INN Income Splits'!$A$6,Table13[agg_content_type_Earned Income - Events])</f>
        <v>2170637.9944444466</v>
      </c>
      <c r="E91" s="164" t="e">
        <f t="shared" si="112"/>
        <v>#REF!</v>
      </c>
      <c r="F91" s="170">
        <f>AVERAGEIFS(Table13[agg_content_type_Earned Income - Events],Table13[Scope/Content Type],$A79,Table13[agg_content_type_Earned Income - Events],"&gt;0")</f>
        <v>18553.599999999991</v>
      </c>
      <c r="G91" s="176">
        <f t="shared" si="113"/>
        <v>6.9313326319704202E-2</v>
      </c>
      <c r="H91" s="176">
        <f t="shared" si="114"/>
        <v>2.618143535060696E-2</v>
      </c>
      <c r="L91" s="134" t="s">
        <v>140</v>
      </c>
      <c r="M91" s="170">
        <f>SUMIF(Table13[Scope/Sub-Type],'INN Income Splits'!$A$6,Table13[agg_content_type_Earned Income - Events])</f>
        <v>2170637.9944444466</v>
      </c>
      <c r="N91" s="164" t="e">
        <f t="shared" si="115"/>
        <v>#REF!</v>
      </c>
      <c r="O91" s="170">
        <f>AVERAGEIFS(Table13[agg_content_type_Earned Income - Events],Table13[Scope/Content Type],$J79,Table13[agg_content_type_Earned Income - Events],"&gt;0")</f>
        <v>661761.73333333293</v>
      </c>
      <c r="P91" s="176">
        <f t="shared" si="116"/>
        <v>0.20594536426786531</v>
      </c>
      <c r="Q91" s="176">
        <f t="shared" si="117"/>
        <v>0.1496020257739549</v>
      </c>
      <c r="U91" s="134" t="s">
        <v>140</v>
      </c>
      <c r="V91" s="170">
        <f>SUMIF(Table13[Scope/Sub-Type],'INN Income Splits'!$A$6,Table13[agg_content_type_Earned Income - Events])</f>
        <v>2170637.9944444466</v>
      </c>
      <c r="W91" s="164" t="e">
        <f t="shared" si="118"/>
        <v>#REF!</v>
      </c>
      <c r="X91" s="170">
        <f>AVERAGEIFS(Table13[agg_content_type_Earned Income - Events],Table13[Scope/Content Type],$S79,Table13[agg_content_type_Earned Income - Events],"&gt;0")</f>
        <v>1500</v>
      </c>
      <c r="Y91" s="176">
        <f t="shared" si="119"/>
        <v>2.1126165460127883E-2</v>
      </c>
      <c r="Z91" s="176">
        <f t="shared" si="120"/>
        <v>3.4932339997017455E-3</v>
      </c>
      <c r="AD91" s="134" t="s">
        <v>140</v>
      </c>
      <c r="AE91" s="170">
        <f>SUMIF(Table13[Scope/Sub-Type],'INN Income Splits'!$A$6,Table13[agg_content_type_Earned Income - Events])</f>
        <v>2170637.9944444466</v>
      </c>
      <c r="AF91" s="164" t="e">
        <f t="shared" si="121"/>
        <v>#REF!</v>
      </c>
      <c r="AG91" s="170">
        <f>AVERAGEIFS(Table13[agg_content_type_Earned Income - Events],Table13[Scope/Content Type],$AB79,Table13[agg_content_type_Earned Income - Events],"&gt;0")</f>
        <v>11999</v>
      </c>
      <c r="AH91" s="176">
        <f t="shared" si="122"/>
        <v>2.7926401695903356E-2</v>
      </c>
      <c r="AI91" s="176">
        <f t="shared" si="123"/>
        <v>1.9523331910284059E-3</v>
      </c>
    </row>
    <row r="92" spans="1:35" x14ac:dyDescent="0.2">
      <c r="C92" s="134" t="s">
        <v>251</v>
      </c>
      <c r="D92" s="170">
        <f>SUMIF(Table13[Scope/Sub-Type],'INN Income Splits'!$A$6,Table13[agg_content_type_Earned Income - Syndication])</f>
        <v>1216312.3466666662</v>
      </c>
      <c r="E92" s="164" t="e">
        <f t="shared" si="112"/>
        <v>#REF!</v>
      </c>
      <c r="F92" s="170">
        <f>AVERAGEIFS(Table13[agg_content_type_Earned Income - Syndication],Table13[Scope/Content Type],$A79,Table13[agg_content_type_Earned Income - Syndication],"&gt;0")</f>
        <v>44251.666666666664</v>
      </c>
      <c r="G92" s="176">
        <f t="shared" si="113"/>
        <v>0.1653172544335032</v>
      </c>
      <c r="H92" s="176">
        <f t="shared" si="114"/>
        <v>6.2444601047233032E-2</v>
      </c>
      <c r="L92" s="134" t="s">
        <v>251</v>
      </c>
      <c r="M92" s="170">
        <f>SUMIF(Table13[Scope/Sub-Type],'INN Income Splits'!$A$6,Table13[agg_content_type_Earned Income - Syndication])</f>
        <v>1216312.3466666662</v>
      </c>
      <c r="N92" s="164" t="e">
        <f t="shared" si="115"/>
        <v>#REF!</v>
      </c>
      <c r="O92" s="170">
        <f>AVERAGEIFS(Table13[agg_content_type_Earned Income - Syndication],Table13[Scope/Content Type],$J79,Table13[agg_content_type_Earned Income - Syndication],"&gt;0")</f>
        <v>55800.5</v>
      </c>
      <c r="P92" s="176">
        <f t="shared" si="116"/>
        <v>1.7365546721693728E-2</v>
      </c>
      <c r="Q92" s="176">
        <f t="shared" si="117"/>
        <v>1.261461250887214E-2</v>
      </c>
      <c r="U92" s="134" t="s">
        <v>251</v>
      </c>
      <c r="V92" s="170">
        <f>SUMIF(Table13[Scope/Sub-Type],'INN Income Splits'!$A$6,Table13[agg_content_type_Earned Income - Syndication])</f>
        <v>1216312.3466666662</v>
      </c>
      <c r="W92" s="164" t="e">
        <f t="shared" si="118"/>
        <v>#REF!</v>
      </c>
      <c r="X92" s="170">
        <f>AVERAGEIFS(Table13[agg_content_type_Earned Income - Syndication],Table13[Scope/Content Type],$S79,Table13[agg_content_type_Earned Income - Syndication],"&gt;0")</f>
        <v>5000</v>
      </c>
      <c r="Y92" s="176">
        <f t="shared" si="119"/>
        <v>7.0420551533759618E-2</v>
      </c>
      <c r="Z92" s="176">
        <f t="shared" si="120"/>
        <v>1.1644113332339152E-2</v>
      </c>
      <c r="AD92" s="134" t="s">
        <v>251</v>
      </c>
      <c r="AE92" s="170">
        <f>SUMIF(Table13[Scope/Sub-Type],'INN Income Splits'!$A$6,Table13[agg_content_type_Earned Income - Syndication])</f>
        <v>1216312.3466666662</v>
      </c>
      <c r="AF92" s="164" t="e">
        <f t="shared" si="121"/>
        <v>#REF!</v>
      </c>
      <c r="AG92" s="170">
        <f>AVERAGEIFS(Table13[agg_content_type_Earned Income - Syndication],Table13[Scope/Content Type],$AB79,Table13[agg_content_type_Earned Income - Syndication],"&gt;0")</f>
        <v>17982</v>
      </c>
      <c r="AH92" s="176">
        <f t="shared" si="122"/>
        <v>4.1851200541356291E-2</v>
      </c>
      <c r="AI92" s="176">
        <f t="shared" si="123"/>
        <v>2.9258151046814562E-3</v>
      </c>
    </row>
    <row r="93" spans="1:35" x14ac:dyDescent="0.2">
      <c r="B93" s="137"/>
      <c r="C93" s="137" t="s">
        <v>248</v>
      </c>
      <c r="D93" s="181">
        <f>SUMIF(Table13[Scope/Sub-Type],'INN Income Splits'!$A$6,Table13[agg_content_type_Earned Income - Other])</f>
        <v>1890617.4600000018</v>
      </c>
      <c r="E93" s="182" t="e">
        <f t="shared" si="112"/>
        <v>#REF!</v>
      </c>
      <c r="F93" s="181">
        <f>AVERAGEIFS(Table13[agg_content_type_Earned Income - Other],Table13[Scope/Content Type],$A79,Table13[agg_content_type_Earned Income - Other],"&gt;0")</f>
        <v>35455</v>
      </c>
      <c r="G93" s="182">
        <f t="shared" si="113"/>
        <v>0.13245429375782133</v>
      </c>
      <c r="H93" s="182">
        <f t="shared" si="114"/>
        <v>5.003141117388378E-2</v>
      </c>
      <c r="K93" s="137"/>
      <c r="L93" s="137" t="s">
        <v>248</v>
      </c>
      <c r="M93" s="181">
        <f>SUMIF(Table13[Scope/Sub-Type],'INN Income Splits'!$A$6,Table13[agg_content_type_Earned Income - Other])</f>
        <v>1890617.4600000018</v>
      </c>
      <c r="N93" s="182" t="e">
        <f t="shared" si="115"/>
        <v>#REF!</v>
      </c>
      <c r="O93" s="181">
        <f>AVERAGEIFS(Table13[agg_content_type_Earned Income - Other],Table13[Scope/Content Type],$J79,Table13[agg_content_type_Earned Income - Other],"&gt;0")</f>
        <v>1061453.6000000003</v>
      </c>
      <c r="P93" s="182">
        <f t="shared" si="116"/>
        <v>0.33033256124425425</v>
      </c>
      <c r="Q93" s="182">
        <f t="shared" si="117"/>
        <v>0.2399588867509676</v>
      </c>
      <c r="T93" s="137"/>
      <c r="U93" s="137" t="s">
        <v>248</v>
      </c>
      <c r="V93" s="181">
        <f>SUMIF(Table13[Scope/Sub-Type],'INN Income Splits'!$A$6,Table13[agg_content_type_Earned Income - Other])</f>
        <v>1890617.4600000018</v>
      </c>
      <c r="W93" s="182" t="e">
        <f t="shared" si="118"/>
        <v>#REF!</v>
      </c>
      <c r="X93" s="181">
        <f>AVERAGEIFS(Table13[agg_content_type_Earned Income - Other],Table13[Scope/Content Type],$S79,Table13[agg_content_type_Earned Income - Other],"&gt;0")</f>
        <v>64502</v>
      </c>
      <c r="Y93" s="182">
        <f t="shared" si="119"/>
        <v>0.9084532830061125</v>
      </c>
      <c r="Z93" s="182">
        <f t="shared" si="120"/>
        <v>0.15021371963250799</v>
      </c>
      <c r="AC93" s="137"/>
      <c r="AD93" s="137" t="s">
        <v>248</v>
      </c>
      <c r="AE93" s="181">
        <f>SUMIF(Table13[Scope/Sub-Type],'INN Income Splits'!$A$6,Table13[agg_content_type_Earned Income - Other])</f>
        <v>1890617.4600000018</v>
      </c>
      <c r="AF93" s="182" t="e">
        <f t="shared" si="121"/>
        <v>#REF!</v>
      </c>
      <c r="AG93" s="181">
        <f>AVERAGEIFS(Table13[agg_content_type_Earned Income - Other],Table13[Scope/Content Type],$AB79,Table13[agg_content_type_Earned Income - Other],"&gt;0")</f>
        <v>119575.27222222225</v>
      </c>
      <c r="AH93" s="182">
        <f t="shared" si="122"/>
        <v>0.2782987819797294</v>
      </c>
      <c r="AI93" s="182">
        <f t="shared" si="123"/>
        <v>1.9455852386507332E-2</v>
      </c>
    </row>
    <row r="94" spans="1:35" ht="12.75" thickBot="1" x14ac:dyDescent="0.25">
      <c r="B94" s="211"/>
      <c r="C94" s="211" t="s">
        <v>60</v>
      </c>
      <c r="D94" s="212">
        <f>SUM(D88:D93)</f>
        <v>23388970.322722849</v>
      </c>
      <c r="E94" s="213" t="e">
        <f t="shared" ref="E94" si="124">SUM(E88:E93)</f>
        <v>#REF!</v>
      </c>
      <c r="F94" s="212">
        <f>SUM(F88:F93)</f>
        <v>267677.2416666667</v>
      </c>
      <c r="G94" s="214">
        <f>SUM(G88:G93)</f>
        <v>0.99999999999999978</v>
      </c>
      <c r="H94" s="213">
        <f>SUM(H88:H93)</f>
        <v>0.3777258536092527</v>
      </c>
      <c r="K94" s="211"/>
      <c r="L94" s="211" t="s">
        <v>60</v>
      </c>
      <c r="M94" s="212">
        <f>SUM(M88:M93)</f>
        <v>23388970.322722849</v>
      </c>
      <c r="N94" s="213" t="e">
        <f t="shared" ref="N94" si="125">SUM(N88:N93)</f>
        <v>#REF!</v>
      </c>
      <c r="O94" s="212">
        <f>SUM(O88:O93)</f>
        <v>3213287.833333333</v>
      </c>
      <c r="P94" s="214">
        <f>SUM(P88:P93)</f>
        <v>1</v>
      </c>
      <c r="Q94" s="213">
        <f>SUM(Q88:Q93)</f>
        <v>0.72641608761522425</v>
      </c>
      <c r="T94" s="211"/>
      <c r="U94" s="211" t="s">
        <v>60</v>
      </c>
      <c r="V94" s="212">
        <f>SUM(V88:V93)</f>
        <v>23388970.322722849</v>
      </c>
      <c r="W94" s="213" t="e">
        <f t="shared" ref="W94" si="126">SUM(W88:W93)</f>
        <v>#REF!</v>
      </c>
      <c r="X94" s="212">
        <f>SUM(X88:X93)</f>
        <v>71002</v>
      </c>
      <c r="Y94" s="214">
        <f>SUM(Y88:Y93)</f>
        <v>1</v>
      </c>
      <c r="Z94" s="213">
        <f>SUM(Z88:Z93)</f>
        <v>0.16535106696454888</v>
      </c>
      <c r="AC94" s="211"/>
      <c r="AD94" s="211" t="s">
        <v>60</v>
      </c>
      <c r="AE94" s="212">
        <f>SUM(AE88:AE93)</f>
        <v>23388970.322722849</v>
      </c>
      <c r="AF94" s="213" t="e">
        <f t="shared" ref="AF94" si="127">SUM(AF88:AF93)</f>
        <v>#REF!</v>
      </c>
      <c r="AG94" s="212">
        <f>SUM(AG88:AG93)</f>
        <v>429665.09365079371</v>
      </c>
      <c r="AH94" s="214">
        <f>SUM(AH88:AH93)</f>
        <v>1</v>
      </c>
      <c r="AI94" s="213">
        <f>SUM(AI88:AI93)</f>
        <v>6.990994444210126E-2</v>
      </c>
    </row>
    <row r="95" spans="1:35" ht="12.75" thickTop="1" x14ac:dyDescent="0.2">
      <c r="A95" s="133"/>
      <c r="B95" s="133" t="s">
        <v>60</v>
      </c>
      <c r="C95" s="133"/>
      <c r="D95" s="201">
        <f>D86+D94</f>
        <v>23388970.322722849</v>
      </c>
      <c r="E95" s="165"/>
      <c r="F95" s="201">
        <f>F86+F94</f>
        <v>708654.80641304364</v>
      </c>
      <c r="G95" s="215"/>
      <c r="H95" s="165">
        <f>H94+H86</f>
        <v>1</v>
      </c>
      <c r="J95" s="133"/>
      <c r="K95" s="133" t="s">
        <v>60</v>
      </c>
      <c r="L95" s="133"/>
      <c r="M95" s="201">
        <f>M86+M94</f>
        <v>23388970.322722849</v>
      </c>
      <c r="N95" s="165"/>
      <c r="O95" s="201">
        <f>O86+O94</f>
        <v>4423481.0986666661</v>
      </c>
      <c r="P95" s="215"/>
      <c r="Q95" s="165">
        <f>Q94+Q86</f>
        <v>1</v>
      </c>
      <c r="S95" s="133"/>
      <c r="T95" s="133" t="s">
        <v>60</v>
      </c>
      <c r="U95" s="133"/>
      <c r="V95" s="201">
        <f>V86+V94</f>
        <v>23388970.322722849</v>
      </c>
      <c r="W95" s="165"/>
      <c r="X95" s="201">
        <f>X86+X94</f>
        <v>429401.52309523808</v>
      </c>
      <c r="Y95" s="215"/>
      <c r="Z95" s="165">
        <f>Z94+Z86</f>
        <v>1</v>
      </c>
      <c r="AB95" s="133"/>
      <c r="AC95" s="133" t="s">
        <v>60</v>
      </c>
      <c r="AD95" s="133"/>
      <c r="AE95" s="201">
        <f>AE86+AE94</f>
        <v>23388970.322722849</v>
      </c>
      <c r="AF95" s="165"/>
      <c r="AG95" s="201">
        <f>AG86+AG94</f>
        <v>6145979.6182020744</v>
      </c>
      <c r="AH95" s="215"/>
      <c r="AI95" s="165">
        <f>AI94+AI86</f>
        <v>1</v>
      </c>
    </row>
    <row r="97" spans="1:35" x14ac:dyDescent="0.2">
      <c r="A97" s="217" t="s">
        <v>294</v>
      </c>
      <c r="B97" s="218"/>
      <c r="C97" s="218"/>
      <c r="D97" s="218"/>
      <c r="E97" s="218"/>
      <c r="F97" s="218"/>
      <c r="G97" s="218"/>
      <c r="H97" s="218"/>
      <c r="J97" s="217" t="s">
        <v>295</v>
      </c>
      <c r="K97" s="218"/>
      <c r="L97" s="218"/>
      <c r="M97" s="218"/>
      <c r="N97" s="218"/>
      <c r="O97" s="218"/>
      <c r="P97" s="218"/>
      <c r="Q97" s="218"/>
      <c r="S97" s="217" t="s">
        <v>296</v>
      </c>
      <c r="T97" s="218"/>
      <c r="U97" s="218"/>
      <c r="V97" s="218"/>
      <c r="W97" s="218"/>
      <c r="X97" s="218"/>
      <c r="Y97" s="218"/>
      <c r="Z97" s="218"/>
      <c r="AB97" s="217" t="s">
        <v>297</v>
      </c>
      <c r="AC97" s="218"/>
      <c r="AD97" s="218"/>
      <c r="AE97" s="218"/>
      <c r="AF97" s="218"/>
      <c r="AG97" s="218"/>
      <c r="AH97" s="218"/>
      <c r="AI97" s="218"/>
    </row>
    <row r="98" spans="1:35" ht="24" x14ac:dyDescent="0.2">
      <c r="A98" s="166"/>
      <c r="B98" s="166"/>
      <c r="C98" s="166"/>
      <c r="D98" s="166" t="s">
        <v>269</v>
      </c>
      <c r="E98" s="166" t="s">
        <v>282</v>
      </c>
      <c r="F98" s="166" t="s">
        <v>283</v>
      </c>
      <c r="G98" s="166" t="s">
        <v>284</v>
      </c>
      <c r="H98" s="166" t="s">
        <v>285</v>
      </c>
      <c r="J98" s="166"/>
      <c r="K98" s="166"/>
      <c r="L98" s="166"/>
      <c r="M98" s="166" t="s">
        <v>269</v>
      </c>
      <c r="N98" s="166" t="s">
        <v>282</v>
      </c>
      <c r="O98" s="166" t="s">
        <v>283</v>
      </c>
      <c r="P98" s="166" t="s">
        <v>284</v>
      </c>
      <c r="Q98" s="166" t="s">
        <v>285</v>
      </c>
      <c r="S98" s="166"/>
      <c r="T98" s="166"/>
      <c r="U98" s="166"/>
      <c r="V98" s="166" t="s">
        <v>269</v>
      </c>
      <c r="W98" s="166" t="s">
        <v>282</v>
      </c>
      <c r="X98" s="166" t="s">
        <v>283</v>
      </c>
      <c r="Y98" s="166" t="s">
        <v>284</v>
      </c>
      <c r="Z98" s="166" t="s">
        <v>285</v>
      </c>
      <c r="AB98" s="166"/>
      <c r="AC98" s="166"/>
      <c r="AD98" s="166"/>
      <c r="AE98" s="166" t="s">
        <v>269</v>
      </c>
      <c r="AF98" s="166" t="s">
        <v>282</v>
      </c>
      <c r="AG98" s="166" t="s">
        <v>283</v>
      </c>
      <c r="AH98" s="166" t="s">
        <v>284</v>
      </c>
      <c r="AI98" s="166" t="s">
        <v>285</v>
      </c>
    </row>
    <row r="99" spans="1:35" x14ac:dyDescent="0.2">
      <c r="B99" s="134" t="s">
        <v>246</v>
      </c>
      <c r="D99" s="170"/>
      <c r="K99" s="134" t="s">
        <v>246</v>
      </c>
      <c r="M99" s="170"/>
      <c r="T99" s="134" t="s">
        <v>246</v>
      </c>
      <c r="V99" s="170"/>
      <c r="AC99" s="134" t="s">
        <v>246</v>
      </c>
      <c r="AE99" s="170"/>
    </row>
    <row r="100" spans="1:35" x14ac:dyDescent="0.2">
      <c r="C100" s="134" t="s">
        <v>134</v>
      </c>
      <c r="D100" s="170">
        <f>SUMIF(Table13[Scope/Sub-Type],'INN Income Splits'!A97,Table13[agg_content_type_Cont. Income - Foundations])</f>
        <v>0</v>
      </c>
      <c r="E100" s="164" t="e">
        <f>D100/$D$13</f>
        <v>#REF!</v>
      </c>
      <c r="F100" s="170">
        <f>AVERAGEIFS(Table13[agg_content_type_Cont. Income - Foundations],Table13[Scope/Content Type],$A97,Table13[agg_content_type_Cont. Income - Foundations],"&gt;0")</f>
        <v>337993.31107142882</v>
      </c>
      <c r="G100" s="176">
        <f>F100/$F$104</f>
        <v>0.50819080693489149</v>
      </c>
      <c r="H100" s="176">
        <f>F100/$F$113</f>
        <v>0.30012978599485074</v>
      </c>
      <c r="L100" s="134" t="s">
        <v>134</v>
      </c>
      <c r="M100" s="170">
        <f>SUMIF(Table13[Scope/Sub-Type],'INN Income Splits'!J97,Table13[agg_content_type_Cont. Income - Foundations])</f>
        <v>0</v>
      </c>
      <c r="N100" s="164" t="e">
        <f>M100/$D$13</f>
        <v>#REF!</v>
      </c>
      <c r="O100" s="170">
        <f>AVERAGEIFS(Table13[agg_content_type_Cont. Income - Foundations],Table13[Scope/Content Type],$J97,Table13[agg_content_type_Cont. Income - Foundations],"&gt;0")</f>
        <v>336159.25142857147</v>
      </c>
      <c r="P100" s="176">
        <f>O100/$O$104</f>
        <v>0.37001388371743105</v>
      </c>
      <c r="Q100" s="176">
        <f>O100/$O$113</f>
        <v>0.1655776762011989</v>
      </c>
      <c r="U100" s="134" t="s">
        <v>134</v>
      </c>
      <c r="V100" s="170">
        <f>SUMIF(Table13[Scope/Sub-Type],'INN Income Splits'!S97,Table13[agg_content_type_Cont. Income - Foundations])</f>
        <v>0</v>
      </c>
      <c r="W100" s="164" t="e">
        <f>V100/$D$13</f>
        <v>#REF!</v>
      </c>
      <c r="X100" s="170">
        <f>AVERAGEIFS(Table13[agg_content_type_Cont. Income - Foundations],Table13[Scope/Content Type],$S97,Table13[agg_content_type_Cont. Income - Foundations],"&gt;0")</f>
        <v>222052</v>
      </c>
      <c r="Y100" s="176">
        <f>X100/$X$104</f>
        <v>0.93824061926280855</v>
      </c>
      <c r="Z100" s="176">
        <f>X100/$X$113</f>
        <v>0.66693397848590386</v>
      </c>
      <c r="AD100" s="134" t="s">
        <v>134</v>
      </c>
      <c r="AE100" s="170">
        <f>SUMIF(Table13[Scope/Sub-Type],'INN Income Splits'!AB97,Table13[agg_content_type_Cont. Income - Foundations])</f>
        <v>0</v>
      </c>
      <c r="AF100" s="164" t="e">
        <f>AE100/$D$13</f>
        <v>#REF!</v>
      </c>
      <c r="AG100" s="170">
        <f>AVERAGEIFS(Table13[agg_content_type_Cont. Income - Foundations],Table13[Scope/Content Type],$AB97,Table13[agg_content_type_Cont. Income - Foundations],"&gt;0")</f>
        <v>3187219.375</v>
      </c>
      <c r="AH100" s="176">
        <f>AG100/$AG$104</f>
        <v>0.46732613656170707</v>
      </c>
      <c r="AI100" s="176">
        <f>AG100/$AG$113</f>
        <v>0.4092654158820489</v>
      </c>
    </row>
    <row r="101" spans="1:35" x14ac:dyDescent="0.2">
      <c r="C101" s="134" t="s">
        <v>135</v>
      </c>
      <c r="D101" s="170">
        <f>SUMIF(Table13[Scope/Sub-Type],'INN Income Splits'!A97,Table13[agg_content_type_Cont. Income - Membership])</f>
        <v>0</v>
      </c>
      <c r="E101" s="164" t="e">
        <f t="shared" ref="E101:E103" si="128">D101/$D$13</f>
        <v>#REF!</v>
      </c>
      <c r="F101" s="170">
        <f>AVERAGEIFS(Table13[agg_content_type_Cont. Income - Membership],Table13[Scope/Content Type],$A97,Table13[agg_content_type_Cont. Income - Membership],"&gt;0")</f>
        <v>153185.92272727282</v>
      </c>
      <c r="G101" s="176">
        <f t="shared" ref="G101:G103" si="129">F101/$F$104</f>
        <v>0.23032313105565275</v>
      </c>
      <c r="H101" s="176">
        <f t="shared" ref="H101:H103" si="130">F101/$F$113</f>
        <v>0.13602534931776802</v>
      </c>
      <c r="L101" s="134" t="s">
        <v>135</v>
      </c>
      <c r="M101" s="170">
        <f>SUMIF(Table13[Scope/Sub-Type],'INN Income Splits'!J97,Table13[agg_content_type_Cont. Income - Membership])</f>
        <v>0</v>
      </c>
      <c r="N101" s="164" t="e">
        <f t="shared" ref="N101:N103" si="131">M101/$D$13</f>
        <v>#REF!</v>
      </c>
      <c r="O101" s="170">
        <f>AVERAGEIFS(Table13[agg_content_type_Cont. Income - Membership],Table13[Scope/Content Type],$J97,Table13[agg_content_type_Cont. Income - Membership],"&gt;0")</f>
        <v>121919.34000000003</v>
      </c>
      <c r="P101" s="176">
        <f t="shared" ref="P101:P103" si="132">O101/$O$104</f>
        <v>0.13419784909073521</v>
      </c>
      <c r="Q101" s="176">
        <f t="shared" ref="Q101:Q103" si="133">O101/$O$113</f>
        <v>6.0052254743532839E-2</v>
      </c>
      <c r="U101" s="134" t="s">
        <v>135</v>
      </c>
      <c r="V101" s="170">
        <f>SUMIF(Table13[Scope/Sub-Type],'INN Income Splits'!S97,Table13[agg_content_type_Cont. Income - Membership])</f>
        <v>0</v>
      </c>
      <c r="W101" s="164" t="e">
        <f t="shared" ref="W101:W103" si="134">V101/$D$13</f>
        <v>#REF!</v>
      </c>
      <c r="X101" s="170">
        <f>IFERROR(AVERAGEIFS(Table13[agg_content_type_Cont. Income - Membership],Table13[Scope/Content Type],$S97,Table13[agg_content_type_Cont. Income - Membership],"&gt;0"),0)</f>
        <v>0</v>
      </c>
      <c r="Y101" s="176">
        <f t="shared" ref="Y101:Y103" si="135">X101/$X$104</f>
        <v>0</v>
      </c>
      <c r="Z101" s="176">
        <f t="shared" ref="Z101:Z103" si="136">X101/$X$113</f>
        <v>0</v>
      </c>
      <c r="AD101" s="134" t="s">
        <v>135</v>
      </c>
      <c r="AE101" s="170">
        <f>SUMIF(Table13[Scope/Sub-Type],'INN Income Splits'!AB97,Table13[agg_content_type_Cont. Income - Membership])</f>
        <v>0</v>
      </c>
      <c r="AF101" s="164" t="e">
        <f t="shared" ref="AF101:AF103" si="137">AE101/$D$13</f>
        <v>#REF!</v>
      </c>
      <c r="AG101" s="170">
        <f>IFERROR(AVERAGEIFS(Table13[agg_content_type_Cont. Income - Membership],Table13[Scope/Content Type],$AB97,Table13[agg_content_type_Cont. Income - Membership],"&gt;0"),0)</f>
        <v>124328.02500000001</v>
      </c>
      <c r="AH101" s="176">
        <f t="shared" ref="AH101:AH103" si="138">AG101/$AG$104</f>
        <v>1.8229600398810747E-2</v>
      </c>
      <c r="AI101" s="176">
        <f t="shared" ref="AI101:AI103" si="139">AG101/$AG$113</f>
        <v>1.5964750106797647E-2</v>
      </c>
    </row>
    <row r="102" spans="1:35" x14ac:dyDescent="0.2">
      <c r="C102" s="134" t="s">
        <v>247</v>
      </c>
      <c r="D102" s="170">
        <f>SUMIF(Table13[Scope/Sub-Type],'INN Income Splits'!A97,Table13[agg_content_type_Total Individual Donations])</f>
        <v>0</v>
      </c>
      <c r="E102" s="164" t="e">
        <f t="shared" si="128"/>
        <v>#REF!</v>
      </c>
      <c r="F102" s="170">
        <f>AVERAGEIFS(Table13[agg_content_type_Total Individual Donations],Table13[Scope/Content Type],$A97,Table13[agg_content_type_Total Individual Donations],"&gt;0")</f>
        <v>143209.3686206897</v>
      </c>
      <c r="G102" s="176">
        <f t="shared" si="129"/>
        <v>0.21532285467212803</v>
      </c>
      <c r="H102" s="176">
        <f t="shared" si="130"/>
        <v>0.127166413501899</v>
      </c>
      <c r="L102" s="134" t="s">
        <v>247</v>
      </c>
      <c r="M102" s="170">
        <f>SUMIF(Table13[Scope/Sub-Type],'INN Income Splits'!J97,Table13[agg_content_type_Total Individual Donations])</f>
        <v>0</v>
      </c>
      <c r="N102" s="164" t="e">
        <f t="shared" si="131"/>
        <v>#REF!</v>
      </c>
      <c r="O102" s="170">
        <f>AVERAGEIFS(Table13[agg_content_type_Total Individual Donations],Table13[Scope/Content Type],$J97,Table13[agg_content_type_Total Individual Donations],"&gt;0")</f>
        <v>393708.89187499986</v>
      </c>
      <c r="P102" s="176">
        <f t="shared" si="132"/>
        <v>0.43335935428720174</v>
      </c>
      <c r="Q102" s="176">
        <f t="shared" si="133"/>
        <v>0.19392416879611973</v>
      </c>
      <c r="U102" s="134" t="s">
        <v>247</v>
      </c>
      <c r="V102" s="170">
        <f>SUMIF(Table13[Scope/Sub-Type],'INN Income Splits'!S97,Table13[agg_content_type_Total Individual Donations])</f>
        <v>0</v>
      </c>
      <c r="W102" s="164" t="e">
        <f t="shared" si="134"/>
        <v>#REF!</v>
      </c>
      <c r="X102" s="170">
        <f>AVERAGEIFS(Table13[agg_content_type_Total Individual Donations],Table13[Scope/Content Type],$S97,Table13[agg_content_type_Total Individual Donations],"&gt;0")</f>
        <v>11616.5</v>
      </c>
      <c r="Y102" s="176">
        <f t="shared" si="135"/>
        <v>4.9083422593205264E-2</v>
      </c>
      <c r="Z102" s="176">
        <f t="shared" si="136"/>
        <v>3.4890199417620657E-2</v>
      </c>
      <c r="AD102" s="134" t="s">
        <v>247</v>
      </c>
      <c r="AE102" s="170">
        <f>SUMIF(Table13[Scope/Sub-Type],'INN Income Splits'!AB97,Table13[agg_content_type_Total Individual Donations])</f>
        <v>0</v>
      </c>
      <c r="AF102" s="164" t="e">
        <f t="shared" si="137"/>
        <v>#REF!</v>
      </c>
      <c r="AG102" s="170">
        <f>AVERAGEIFS(Table13[agg_content_type_Total Individual Donations],Table13[Scope/Content Type],$AB97,Table13[agg_content_type_Total Individual Donations],"&gt;0")</f>
        <v>3107170.8887500009</v>
      </c>
      <c r="AH102" s="176">
        <f t="shared" si="138"/>
        <v>0.45558902486169273</v>
      </c>
      <c r="AI102" s="176">
        <f t="shared" si="139"/>
        <v>0.39898652599050061</v>
      </c>
    </row>
    <row r="103" spans="1:35" x14ac:dyDescent="0.2">
      <c r="B103" s="137"/>
      <c r="C103" s="137" t="s">
        <v>248</v>
      </c>
      <c r="D103" s="181">
        <f>SUMIF(Table13[Scope/Sub-Type],'INN Income Splits'!A97,Table13[agg_content_type_Cont. Income - Other])</f>
        <v>0</v>
      </c>
      <c r="E103" s="182" t="e">
        <f t="shared" si="128"/>
        <v>#REF!</v>
      </c>
      <c r="F103" s="181">
        <f>AVERAGEIFS(Table13[agg_content_type_Cont. Income - Other],Table13[Scope/Content Type],$A97,Table13[agg_content_type_Cont. Income - Other],"&gt;0")</f>
        <v>30702.75</v>
      </c>
      <c r="G103" s="182">
        <f t="shared" si="129"/>
        <v>4.6163207337327622E-2</v>
      </c>
      <c r="H103" s="182">
        <f t="shared" si="130"/>
        <v>2.7263290382116525E-2</v>
      </c>
      <c r="K103" s="137"/>
      <c r="L103" s="137" t="s">
        <v>248</v>
      </c>
      <c r="M103" s="181">
        <f>SUMIF(Table13[Scope/Sub-Type],'INN Income Splits'!J97,Table13[agg_content_type_Cont. Income - Other])</f>
        <v>0</v>
      </c>
      <c r="N103" s="182" t="e">
        <f t="shared" si="131"/>
        <v>#REF!</v>
      </c>
      <c r="O103" s="181">
        <f>AVERAGEIFS(Table13[agg_content_type_Cont. Income - Other],Table13[Scope/Content Type],$J97,Table13[agg_content_type_Cont. Income - Other],"&gt;0")</f>
        <v>56716.943749999984</v>
      </c>
      <c r="P103" s="182">
        <f t="shared" si="132"/>
        <v>6.2428912904631984E-2</v>
      </c>
      <c r="Q103" s="182">
        <f t="shared" si="133"/>
        <v>2.7936341800649685E-2</v>
      </c>
      <c r="T103" s="137"/>
      <c r="U103" s="137" t="s">
        <v>248</v>
      </c>
      <c r="V103" s="181">
        <f>SUMIF(Table13[Scope/Sub-Type],'INN Income Splits'!S97,Table13[agg_content_type_Cont. Income - Other])</f>
        <v>0</v>
      </c>
      <c r="W103" s="182" t="e">
        <f t="shared" si="134"/>
        <v>#REF!</v>
      </c>
      <c r="X103" s="181">
        <f>AVERAGEIFS(Table13[agg_content_type_Cont. Income - Other],Table13[Scope/Content Type],$S97,Table13[agg_content_type_Cont. Income - Other],"&gt;0")</f>
        <v>3000</v>
      </c>
      <c r="Y103" s="182">
        <f t="shared" si="135"/>
        <v>1.2675958143986208E-2</v>
      </c>
      <c r="Z103" s="182">
        <f t="shared" si="136"/>
        <v>9.0105107608024759E-3</v>
      </c>
      <c r="AC103" s="137"/>
      <c r="AD103" s="137" t="s">
        <v>248</v>
      </c>
      <c r="AE103" s="181">
        <f>SUMIF(Table13[Scope/Sub-Type],'INN Income Splits'!AB97,Table13[agg_content_type_Cont. Income - Other])</f>
        <v>0</v>
      </c>
      <c r="AF103" s="182" t="e">
        <f t="shared" si="137"/>
        <v>#REF!</v>
      </c>
      <c r="AG103" s="181">
        <f>AVERAGEIFS(Table13[agg_content_type_Cont. Income - Other],Table13[Scope/Content Type],$AB97,Table13[agg_content_type_Cont. Income - Other],"&gt;0")</f>
        <v>401399.66666666663</v>
      </c>
      <c r="AH103" s="182">
        <f t="shared" si="138"/>
        <v>5.8855238177789489E-2</v>
      </c>
      <c r="AI103" s="182">
        <f t="shared" si="139"/>
        <v>5.1543048088194154E-2</v>
      </c>
    </row>
    <row r="104" spans="1:35" x14ac:dyDescent="0.2">
      <c r="C104" s="134" t="s">
        <v>60</v>
      </c>
      <c r="D104" s="170">
        <f>SUM(D100:D103)</f>
        <v>0</v>
      </c>
      <c r="E104" s="186" t="e">
        <f>SUM(E100:E103)</f>
        <v>#REF!</v>
      </c>
      <c r="F104" s="191">
        <f>SUM(F100:F103)</f>
        <v>665091.35241939139</v>
      </c>
      <c r="G104" s="186">
        <f>SUM(G100:G103)</f>
        <v>0.99999999999999989</v>
      </c>
      <c r="H104" s="186">
        <f>SUM(H100:H103)</f>
        <v>0.59058483919663429</v>
      </c>
      <c r="L104" s="134" t="s">
        <v>60</v>
      </c>
      <c r="M104" s="170">
        <f>SUM(M100:M103)</f>
        <v>0</v>
      </c>
      <c r="N104" s="186" t="e">
        <f>SUM(N100:N103)</f>
        <v>#REF!</v>
      </c>
      <c r="O104" s="191">
        <f>SUM(O100:O103)</f>
        <v>908504.42705357133</v>
      </c>
      <c r="P104" s="186">
        <f>SUM(P100:P103)</f>
        <v>1</v>
      </c>
      <c r="Q104" s="186">
        <f>SUM(Q100:Q103)</f>
        <v>0.44749044154150114</v>
      </c>
      <c r="U104" s="134" t="s">
        <v>60</v>
      </c>
      <c r="V104" s="170">
        <f>SUM(V100:V103)</f>
        <v>0</v>
      </c>
      <c r="W104" s="186" t="e">
        <f>SUM(W100:W103)</f>
        <v>#REF!</v>
      </c>
      <c r="X104" s="191">
        <f>SUM(X100:X103)</f>
        <v>236668.5</v>
      </c>
      <c r="Y104" s="186">
        <f>SUM(Y100:Y103)</f>
        <v>1</v>
      </c>
      <c r="Z104" s="186">
        <f>SUM(Z100:Z103)</f>
        <v>0.71083468866432697</v>
      </c>
      <c r="AD104" s="134" t="s">
        <v>60</v>
      </c>
      <c r="AE104" s="170">
        <f>SUM(AE100:AE103)</f>
        <v>0</v>
      </c>
      <c r="AF104" s="186" t="e">
        <f>SUM(AF100:AF103)</f>
        <v>#REF!</v>
      </c>
      <c r="AG104" s="191">
        <f>SUM(AG100:AG103)</f>
        <v>6820117.9554166673</v>
      </c>
      <c r="AH104" s="186">
        <f>SUM(AH100:AH103)</f>
        <v>1</v>
      </c>
      <c r="AI104" s="186">
        <f>SUM(AI100:AI103)</f>
        <v>0.87575974006754143</v>
      </c>
    </row>
    <row r="105" spans="1:35" x14ac:dyDescent="0.2">
      <c r="B105" s="134" t="s">
        <v>250</v>
      </c>
      <c r="K105" s="134" t="s">
        <v>250</v>
      </c>
      <c r="T105" s="134" t="s">
        <v>250</v>
      </c>
      <c r="AC105" s="134" t="s">
        <v>250</v>
      </c>
    </row>
    <row r="106" spans="1:35" x14ac:dyDescent="0.2">
      <c r="C106" s="134" t="s">
        <v>137</v>
      </c>
      <c r="D106" s="170">
        <f>SUMIF(Table13[Scope/Sub-Type],'INN Income Splits'!$A$6,Table13[agg_content_type_Earned Income - Advertising])</f>
        <v>8128757.0358974375</v>
      </c>
      <c r="E106" s="164" t="e">
        <f>D106/$D$21</f>
        <v>#REF!</v>
      </c>
      <c r="F106" s="170">
        <f>AVERAGEIFS(Table13[agg_content_type_Earned Income - Advertising],Table13[Scope/Content Type],$A97,Table13[agg_content_type_Earned Income - Advertising],"&gt;0")</f>
        <v>115711.83333333339</v>
      </c>
      <c r="G106" s="176">
        <f>F106/$F$112</f>
        <v>0.25096597575384388</v>
      </c>
      <c r="H106" s="176">
        <f>F106/$F$113</f>
        <v>0.10274927531943355</v>
      </c>
      <c r="L106" s="134" t="s">
        <v>137</v>
      </c>
      <c r="M106" s="170">
        <f>SUMIF(Table13[Scope/Sub-Type],'INN Income Splits'!$A$6,Table13[agg_content_type_Earned Income - Advertising])</f>
        <v>8128757.0358974375</v>
      </c>
      <c r="N106" s="164" t="e">
        <f>M106/$D$21</f>
        <v>#REF!</v>
      </c>
      <c r="O106" s="170">
        <f>AVERAGEIFS(Table13[agg_content_type_Earned Income - Advertising],Table13[Scope/Content Type],$J97,Table13[agg_content_type_Earned Income - Advertising],"&gt;0")</f>
        <v>471950.66666666674</v>
      </c>
      <c r="P106" s="176">
        <f>O106/$O$112</f>
        <v>0.42073972948862903</v>
      </c>
      <c r="Q106" s="176">
        <f>O106/$O$113</f>
        <v>0.23246272216571071</v>
      </c>
      <c r="U106" s="134" t="s">
        <v>137</v>
      </c>
      <c r="V106" s="170">
        <f>SUMIF(Table13[Scope/Sub-Type],'INN Income Splits'!$A$6,Table13[agg_content_type_Earned Income - Advertising])</f>
        <v>8128757.0358974375</v>
      </c>
      <c r="W106" s="164" t="e">
        <f>V106/$D$21</f>
        <v>#REF!</v>
      </c>
      <c r="X106" s="170">
        <f>IFERROR(AVERAGEIFS(Table13[agg_content_type_Earned Income - Advertising],Table13[Scope/Content Type],$S97,Table13[agg_content_type_Earned Income - Advertising],"&gt;0"),0)</f>
        <v>0</v>
      </c>
      <c r="Y106" s="176">
        <f>X106/$X$112</f>
        <v>0</v>
      </c>
      <c r="Z106" s="176">
        <f>X106/$X$113</f>
        <v>0</v>
      </c>
      <c r="AD106" s="134" t="s">
        <v>137</v>
      </c>
      <c r="AE106" s="170">
        <f>SUMIF(Table13[Scope/Sub-Type],'INN Income Splits'!$A$6,Table13[agg_content_type_Earned Income - Advertising])</f>
        <v>8128757.0358974375</v>
      </c>
      <c r="AF106" s="164" t="e">
        <f>AE106/$D$21</f>
        <v>#REF!</v>
      </c>
      <c r="AG106" s="170">
        <f>IFERROR(AVERAGEIFS(Table13[agg_content_type_Earned Income - Advertising],Table13[Scope/Content Type],$AB97,Table13[agg_content_type_Earned Income - Advertising],"&gt;0"),0)</f>
        <v>137049.674</v>
      </c>
      <c r="AH106" s="176">
        <f>AG106/$AG$112</f>
        <v>0.14164744515623021</v>
      </c>
      <c r="AI106" s="176">
        <f>AG106/$AG$113</f>
        <v>1.7598315404978745E-2</v>
      </c>
    </row>
    <row r="107" spans="1:35" x14ac:dyDescent="0.2">
      <c r="C107" s="134" t="s">
        <v>138</v>
      </c>
      <c r="D107" s="170">
        <f>SUMIF(Table13[Scope/Sub-Type],'INN Income Splits'!$A$6,Table13[agg_content_type_Earned Income - Sponsorships/Underwriting])</f>
        <v>2673769.4857142894</v>
      </c>
      <c r="E107" s="164" t="e">
        <f t="shared" ref="E107:E111" si="140">D107/$D$21</f>
        <v>#REF!</v>
      </c>
      <c r="F107" s="170">
        <f>AVERAGEIFS(Table13[agg_content_type_Earned Income - Sponsorships/Underwriting],Table13[Scope/Content Type],$A97,Table13[agg_content_type_Earned Income - Sponsorships/Underwriting],"&gt;0")</f>
        <v>69915.424999999974</v>
      </c>
      <c r="G107" s="176">
        <f t="shared" ref="G107:G111" si="141">F107/$F$112</f>
        <v>0.15163870755399267</v>
      </c>
      <c r="H107" s="176">
        <f t="shared" ref="H107:H111" si="142">F107/$F$113</f>
        <v>6.2083185837232449E-2</v>
      </c>
      <c r="L107" s="134" t="s">
        <v>138</v>
      </c>
      <c r="M107" s="170">
        <f>SUMIF(Table13[Scope/Sub-Type],'INN Income Splits'!$A$6,Table13[agg_content_type_Earned Income - Sponsorships/Underwriting])</f>
        <v>2673769.4857142894</v>
      </c>
      <c r="N107" s="164" t="e">
        <f t="shared" ref="N107:N111" si="143">M107/$D$21</f>
        <v>#REF!</v>
      </c>
      <c r="O107" s="170">
        <f>AVERAGEIFS(Table13[agg_content_type_Earned Income - Sponsorships/Underwriting],Table13[Scope/Content Type],$J97,Table13[agg_content_type_Earned Income - Sponsorships/Underwriting],"&gt;0")</f>
        <v>315529.25</v>
      </c>
      <c r="P107" s="176">
        <f t="shared" ref="P107:P111" si="144">O107/$O$112</f>
        <v>0.28129145833904245</v>
      </c>
      <c r="Q107" s="176">
        <f t="shared" ref="Q107:Q111" si="145">O107/$O$113</f>
        <v>0.15541621944505157</v>
      </c>
      <c r="U107" s="134" t="s">
        <v>138</v>
      </c>
      <c r="V107" s="170">
        <f>SUMIF(Table13[Scope/Sub-Type],'INN Income Splits'!$A$6,Table13[agg_content_type_Earned Income - Sponsorships/Underwriting])</f>
        <v>2673769.4857142894</v>
      </c>
      <c r="W107" s="164" t="e">
        <f t="shared" ref="W107:W111" si="146">V107/$D$21</f>
        <v>#REF!</v>
      </c>
      <c r="X107" s="170">
        <f>IFERROR(AVERAGEIFS(Table13[agg_content_type_Earned Income - Sponsorships/Underwriting],Table13[Scope/Content Type],$S97,Table13[agg_content_type_Earned Income - Sponsorships/Underwriting],"&gt;0"),0)</f>
        <v>0</v>
      </c>
      <c r="Y107" s="176">
        <f t="shared" ref="Y107:Y111" si="147">X107/$X$112</f>
        <v>0</v>
      </c>
      <c r="Z107" s="176">
        <f t="shared" ref="Z107:Z111" si="148">X107/$X$113</f>
        <v>0</v>
      </c>
      <c r="AD107" s="134" t="s">
        <v>138</v>
      </c>
      <c r="AE107" s="170">
        <f>SUMIF(Table13[Scope/Sub-Type],'INN Income Splits'!$A$6,Table13[agg_content_type_Earned Income - Sponsorships/Underwriting])</f>
        <v>2673769.4857142894</v>
      </c>
      <c r="AF107" s="164" t="e">
        <f t="shared" ref="AF107:AF111" si="149">AE107/$D$21</f>
        <v>#REF!</v>
      </c>
      <c r="AG107" s="170">
        <f>IFERROR(AVERAGEIFS(Table13[agg_content_type_Earned Income - Sponsorships/Underwriting],Table13[Scope/Content Type],$AB97,Table13[agg_content_type_Earned Income - Sponsorships/Underwriting],"&gt;0"),0)</f>
        <v>403687.66666666663</v>
      </c>
      <c r="AH107" s="176">
        <f t="shared" ref="AH107:AH111" si="150">AG107/$AG$112</f>
        <v>0.41723066502451661</v>
      </c>
      <c r="AI107" s="176">
        <f t="shared" ref="AI107:AI111" si="151">AG107/$AG$113</f>
        <v>5.1836846274438589E-2</v>
      </c>
    </row>
    <row r="108" spans="1:35" x14ac:dyDescent="0.2">
      <c r="C108" s="134" t="s">
        <v>139</v>
      </c>
      <c r="D108" s="170">
        <f>SUMIF(Table13[Scope/Sub-Type],'INN Income Splits'!$A$6,Table13[agg_content_type_Earned Income - Subscriptions])</f>
        <v>7308876.0000000037</v>
      </c>
      <c r="E108" s="164" t="e">
        <f t="shared" si="140"/>
        <v>#REF!</v>
      </c>
      <c r="F108" s="170">
        <f>AVERAGEIFS(Table13[agg_content_type_Earned Income - Subscriptions],Table13[Scope/Content Type],$A97,Table13[agg_content_type_Earned Income - Subscriptions],"&gt;0")</f>
        <v>177523</v>
      </c>
      <c r="G108" s="176">
        <f t="shared" si="141"/>
        <v>0.38502745683241507</v>
      </c>
      <c r="H108" s="176">
        <f t="shared" si="142"/>
        <v>0.15763607815275413</v>
      </c>
      <c r="L108" s="134" t="s">
        <v>139</v>
      </c>
      <c r="M108" s="170">
        <f>SUMIF(Table13[Scope/Sub-Type],'INN Income Splits'!$A$6,Table13[agg_content_type_Earned Income - Subscriptions])</f>
        <v>7308876.0000000037</v>
      </c>
      <c r="N108" s="164" t="e">
        <f t="shared" si="143"/>
        <v>#REF!</v>
      </c>
      <c r="O108" s="170">
        <f>AVERAGEIFS(Table13[agg_content_type_Earned Income - Subscriptions],Table13[Scope/Content Type],$J97,Table13[agg_content_type_Earned Income - Subscriptions],"&gt;0")</f>
        <v>5088</v>
      </c>
      <c r="P108" s="176">
        <f t="shared" si="144"/>
        <v>4.5359057520944508E-3</v>
      </c>
      <c r="Q108" s="176">
        <f t="shared" si="145"/>
        <v>2.5061312842990704E-3</v>
      </c>
      <c r="U108" s="134" t="s">
        <v>139</v>
      </c>
      <c r="V108" s="170">
        <f>SUMIF(Table13[Scope/Sub-Type],'INN Income Splits'!$A$6,Table13[agg_content_type_Earned Income - Subscriptions])</f>
        <v>7308876.0000000037</v>
      </c>
      <c r="W108" s="164" t="e">
        <f t="shared" si="146"/>
        <v>#REF!</v>
      </c>
      <c r="X108" s="170">
        <f>IFERROR(AVERAGEIFS(Table13[agg_content_type_Earned Income - Subscriptions],Table13[Scope/Content Type],$S97,Table13[agg_content_type_Earned Income - Subscriptions],"&gt;0"),0)</f>
        <v>0</v>
      </c>
      <c r="Y108" s="176">
        <f t="shared" si="147"/>
        <v>0</v>
      </c>
      <c r="Z108" s="176">
        <f t="shared" si="148"/>
        <v>0</v>
      </c>
      <c r="AD108" s="134" t="s">
        <v>139</v>
      </c>
      <c r="AE108" s="170">
        <f>SUMIF(Table13[Scope/Sub-Type],'INN Income Splits'!$A$6,Table13[agg_content_type_Earned Income - Subscriptions])</f>
        <v>7308876.0000000037</v>
      </c>
      <c r="AF108" s="164" t="e">
        <f t="shared" si="149"/>
        <v>#REF!</v>
      </c>
      <c r="AG108" s="170">
        <f>IFERROR(AVERAGEIFS(Table13[agg_content_type_Earned Income - Subscriptions],Table13[Scope/Content Type],$AB97,Table13[agg_content_type_Earned Income - Subscriptions],"&gt;0"),0)</f>
        <v>171686.5</v>
      </c>
      <c r="AH108" s="176">
        <f t="shared" si="150"/>
        <v>0.17744627464648413</v>
      </c>
      <c r="AI108" s="176">
        <f t="shared" si="151"/>
        <v>2.2045971286125666E-2</v>
      </c>
    </row>
    <row r="109" spans="1:35" x14ac:dyDescent="0.2">
      <c r="C109" s="134" t="s">
        <v>140</v>
      </c>
      <c r="D109" s="170">
        <f>SUMIF(Table13[Scope/Sub-Type],'INN Income Splits'!$A$6,Table13[agg_content_type_Earned Income - Events])</f>
        <v>2170637.9944444466</v>
      </c>
      <c r="E109" s="164" t="e">
        <f t="shared" si="140"/>
        <v>#REF!</v>
      </c>
      <c r="F109" s="170">
        <f>AVERAGEIFS(Table13[agg_content_type_Earned Income - Events],Table13[Scope/Content Type],$A97,Table13[agg_content_type_Earned Income - Events],"&gt;0")</f>
        <v>51669.458888888876</v>
      </c>
      <c r="G109" s="176">
        <f t="shared" si="141"/>
        <v>0.11206525549870104</v>
      </c>
      <c r="H109" s="176">
        <f t="shared" si="142"/>
        <v>4.5881214600470947E-2</v>
      </c>
      <c r="L109" s="134" t="s">
        <v>140</v>
      </c>
      <c r="M109" s="170">
        <f>SUMIF(Table13[Scope/Sub-Type],'INN Income Splits'!$A$6,Table13[agg_content_type_Earned Income - Events])</f>
        <v>2170637.9944444466</v>
      </c>
      <c r="N109" s="164" t="e">
        <f t="shared" si="143"/>
        <v>#REF!</v>
      </c>
      <c r="O109" s="170">
        <f>AVERAGEIFS(Table13[agg_content_type_Earned Income - Events],Table13[Scope/Content Type],$J97,Table13[agg_content_type_Earned Income - Events],"&gt;0")</f>
        <v>50651.75</v>
      </c>
      <c r="P109" s="176">
        <f t="shared" si="144"/>
        <v>4.5155574720646637E-2</v>
      </c>
      <c r="Q109" s="176">
        <f t="shared" si="145"/>
        <v>2.4948886650844229E-2</v>
      </c>
      <c r="U109" s="134" t="s">
        <v>140</v>
      </c>
      <c r="V109" s="170">
        <f>SUMIF(Table13[Scope/Sub-Type],'INN Income Splits'!$A$6,Table13[agg_content_type_Earned Income - Events])</f>
        <v>2170637.9944444466</v>
      </c>
      <c r="W109" s="164" t="e">
        <f t="shared" si="146"/>
        <v>#REF!</v>
      </c>
      <c r="X109" s="170">
        <f>IFERROR(AVERAGEIFS(Table13[agg_content_type_Earned Income - Events],Table13[Scope/Content Type],$S97,Table13[agg_content_type_Earned Income - Events],"&gt;0"),0)</f>
        <v>0</v>
      </c>
      <c r="Y109" s="176">
        <f t="shared" si="147"/>
        <v>0</v>
      </c>
      <c r="Z109" s="176">
        <f t="shared" si="148"/>
        <v>0</v>
      </c>
      <c r="AD109" s="134" t="s">
        <v>140</v>
      </c>
      <c r="AE109" s="170">
        <f>SUMIF(Table13[Scope/Sub-Type],'INN Income Splits'!$A$6,Table13[agg_content_type_Earned Income - Events])</f>
        <v>2170637.9944444466</v>
      </c>
      <c r="AF109" s="164" t="e">
        <f t="shared" si="149"/>
        <v>#REF!</v>
      </c>
      <c r="AG109" s="170">
        <f>IFERROR(AVERAGEIFS(Table13[agg_content_type_Earned Income - Events],Table13[Scope/Content Type],$AB97,Table13[agg_content_type_Earned Income - Events],"&gt;0"),0)</f>
        <v>4232.5</v>
      </c>
      <c r="AH109" s="176">
        <f t="shared" si="150"/>
        <v>4.3744927961210933E-3</v>
      </c>
      <c r="AI109" s="176">
        <f t="shared" si="151"/>
        <v>5.434881220627532E-4</v>
      </c>
    </row>
    <row r="110" spans="1:35" x14ac:dyDescent="0.2">
      <c r="C110" s="134" t="s">
        <v>251</v>
      </c>
      <c r="D110" s="170">
        <f>SUMIF(Table13[Scope/Sub-Type],'INN Income Splits'!$A$6,Table13[agg_content_type_Earned Income - Syndication])</f>
        <v>1216312.3466666662</v>
      </c>
      <c r="E110" s="164" t="e">
        <f t="shared" si="140"/>
        <v>#REF!</v>
      </c>
      <c r="F110" s="170">
        <f>AVERAGEIFS(Table13[agg_content_type_Earned Income - Syndication],Table13[Scope/Content Type],$A97,Table13[agg_content_type_Earned Income - Syndication],"&gt;0")</f>
        <v>13372.739999999994</v>
      </c>
      <c r="G110" s="176">
        <f t="shared" si="141"/>
        <v>2.9003971728064015E-2</v>
      </c>
      <c r="H110" s="176">
        <f t="shared" si="142"/>
        <v>1.1874665748981598E-2</v>
      </c>
      <c r="L110" s="134" t="s">
        <v>251</v>
      </c>
      <c r="M110" s="170">
        <f>SUMIF(Table13[Scope/Sub-Type],'INN Income Splits'!$A$6,Table13[agg_content_type_Earned Income - Syndication])</f>
        <v>1216312.3466666662</v>
      </c>
      <c r="N110" s="164" t="e">
        <f t="shared" si="143"/>
        <v>#REF!</v>
      </c>
      <c r="O110" s="170">
        <f>AVERAGEIFS(Table13[agg_content_type_Earned Income - Syndication],Table13[Scope/Content Type],$J97,Table13[agg_content_type_Earned Income - Syndication],"&gt;0")</f>
        <v>40360.984000000019</v>
      </c>
      <c r="P110" s="176">
        <f t="shared" si="144"/>
        <v>3.5981450370635257E-2</v>
      </c>
      <c r="Q110" s="176">
        <f t="shared" si="145"/>
        <v>1.9880095256976076E-2</v>
      </c>
      <c r="U110" s="134" t="s">
        <v>251</v>
      </c>
      <c r="V110" s="170">
        <f>SUMIF(Table13[Scope/Sub-Type],'INN Income Splits'!$A$6,Table13[agg_content_type_Earned Income - Syndication])</f>
        <v>1216312.3466666662</v>
      </c>
      <c r="W110" s="164" t="e">
        <f t="shared" si="146"/>
        <v>#REF!</v>
      </c>
      <c r="X110" s="170">
        <f>AVERAGEIFS(Table13[agg_content_type_Earned Income - Syndication],Table13[Scope/Content Type],$S97,Table13[agg_content_type_Earned Income - Syndication],"&gt;0")</f>
        <v>1095</v>
      </c>
      <c r="Y110" s="176">
        <f t="shared" si="147"/>
        <v>1.1373551040757822E-2</v>
      </c>
      <c r="Z110" s="176">
        <f t="shared" si="148"/>
        <v>3.2888364276929039E-3</v>
      </c>
      <c r="AD110" s="134" t="s">
        <v>251</v>
      </c>
      <c r="AE110" s="170">
        <f>SUMIF(Table13[Scope/Sub-Type],'INN Income Splits'!$A$6,Table13[agg_content_type_Earned Income - Syndication])</f>
        <v>1216312.3466666662</v>
      </c>
      <c r="AF110" s="164" t="e">
        <f t="shared" si="149"/>
        <v>#REF!</v>
      </c>
      <c r="AG110" s="170">
        <f>AVERAGEIFS(Table13[agg_content_type_Earned Income - Syndication],Table13[Scope/Content Type],$AB97,Table13[agg_content_type_Earned Income - Syndication],"&gt;0")</f>
        <v>48758</v>
      </c>
      <c r="AH110" s="176">
        <f t="shared" si="150"/>
        <v>5.0393743592031255E-2</v>
      </c>
      <c r="AI110" s="176">
        <f t="shared" si="151"/>
        <v>6.2609318028436431E-3</v>
      </c>
    </row>
    <row r="111" spans="1:35" x14ac:dyDescent="0.2">
      <c r="B111" s="137"/>
      <c r="C111" s="137" t="s">
        <v>248</v>
      </c>
      <c r="D111" s="181">
        <f>SUMIF(Table13[Scope/Sub-Type],'INN Income Splits'!$A$6,Table13[agg_content_type_Earned Income - Other])</f>
        <v>1890617.4600000018</v>
      </c>
      <c r="E111" s="182" t="e">
        <f t="shared" si="140"/>
        <v>#REF!</v>
      </c>
      <c r="F111" s="181">
        <f>AVERAGEIFS(Table13[agg_content_type_Earned Income - Other],Table13[Scope/Content Type],$A97,Table13[agg_content_type_Earned Income - Other],"&gt;0")</f>
        <v>32873.362500000025</v>
      </c>
      <c r="G111" s="182">
        <f t="shared" si="141"/>
        <v>7.1298632632983278E-2</v>
      </c>
      <c r="H111" s="182">
        <f t="shared" si="142"/>
        <v>2.9190741144492945E-2</v>
      </c>
      <c r="K111" s="137"/>
      <c r="L111" s="137" t="s">
        <v>248</v>
      </c>
      <c r="M111" s="181">
        <f>SUMIF(Table13[Scope/Sub-Type],'INN Income Splits'!$A$6,Table13[agg_content_type_Earned Income - Other])</f>
        <v>1890617.4600000018</v>
      </c>
      <c r="N111" s="182" t="e">
        <f t="shared" si="143"/>
        <v>#REF!</v>
      </c>
      <c r="O111" s="181">
        <f>AVERAGEIFS(Table13[agg_content_type_Earned Income - Other],Table13[Scope/Content Type],$J97,Table13[agg_content_type_Earned Income - Other],"&gt;0")</f>
        <v>238135.7777777779</v>
      </c>
      <c r="P111" s="182">
        <f t="shared" si="144"/>
        <v>0.21229588132895216</v>
      </c>
      <c r="Q111" s="182">
        <f t="shared" si="145"/>
        <v>0.11729550365561725</v>
      </c>
      <c r="T111" s="137"/>
      <c r="U111" s="137" t="s">
        <v>248</v>
      </c>
      <c r="V111" s="181">
        <f>SUMIF(Table13[Scope/Sub-Type],'INN Income Splits'!$A$6,Table13[agg_content_type_Earned Income - Other])</f>
        <v>1890617.4600000018</v>
      </c>
      <c r="W111" s="182" t="e">
        <f t="shared" si="146"/>
        <v>#REF!</v>
      </c>
      <c r="X111" s="181">
        <f>AVERAGEIFS(Table13[agg_content_type_Earned Income - Other],Table13[Scope/Content Type],$S97,Table13[agg_content_type_Earned Income - Other],"&gt;0")</f>
        <v>95181</v>
      </c>
      <c r="Y111" s="182">
        <f t="shared" si="147"/>
        <v>0.98862644895924223</v>
      </c>
      <c r="Z111" s="182">
        <f t="shared" si="148"/>
        <v>0.28587647490798018</v>
      </c>
      <c r="AC111" s="137"/>
      <c r="AD111" s="137" t="s">
        <v>248</v>
      </c>
      <c r="AE111" s="181">
        <f>SUMIF(Table13[Scope/Sub-Type],'INN Income Splits'!$A$6,Table13[agg_content_type_Earned Income - Other])</f>
        <v>1890617.4600000018</v>
      </c>
      <c r="AF111" s="182" t="e">
        <f t="shared" si="149"/>
        <v>#REF!</v>
      </c>
      <c r="AG111" s="181">
        <f>AVERAGEIFS(Table13[agg_content_type_Earned Income - Other],Table13[Scope/Content Type],$AB97,Table13[agg_content_type_Earned Income - Other],"&gt;0")</f>
        <v>202126.39999999997</v>
      </c>
      <c r="AH111" s="182">
        <f t="shared" si="150"/>
        <v>0.20890737878461677</v>
      </c>
      <c r="AI111" s="182">
        <f t="shared" si="151"/>
        <v>2.5954707042009417E-2</v>
      </c>
    </row>
    <row r="112" spans="1:35" ht="12.75" thickBot="1" x14ac:dyDescent="0.25">
      <c r="B112" s="211"/>
      <c r="C112" s="211" t="s">
        <v>60</v>
      </c>
      <c r="D112" s="212">
        <f>SUM(D106:D111)</f>
        <v>23388970.322722849</v>
      </c>
      <c r="E112" s="213" t="e">
        <f t="shared" ref="E112" si="152">SUM(E106:E111)</f>
        <v>#REF!</v>
      </c>
      <c r="F112" s="212">
        <f>SUM(F106:F111)</f>
        <v>461065.81972222228</v>
      </c>
      <c r="G112" s="214">
        <f>SUM(G106:G111)</f>
        <v>1</v>
      </c>
      <c r="H112" s="213">
        <f>SUM(H106:H111)</f>
        <v>0.4094151608033656</v>
      </c>
      <c r="K112" s="211"/>
      <c r="L112" s="211" t="s">
        <v>60</v>
      </c>
      <c r="M112" s="212">
        <f>SUM(M106:M111)</f>
        <v>23388970.322722849</v>
      </c>
      <c r="N112" s="213" t="e">
        <f t="shared" ref="N112" si="153">SUM(N106:N111)</f>
        <v>#REF!</v>
      </c>
      <c r="O112" s="212">
        <f>SUM(O106:O111)</f>
        <v>1121716.4284444447</v>
      </c>
      <c r="P112" s="214">
        <f>SUM(P106:P111)</f>
        <v>1</v>
      </c>
      <c r="Q112" s="213">
        <f>SUM(Q106:Q111)</f>
        <v>0.55250955845849892</v>
      </c>
      <c r="T112" s="211"/>
      <c r="U112" s="211" t="s">
        <v>60</v>
      </c>
      <c r="V112" s="212">
        <f>SUM(V106:V111)</f>
        <v>23388970.322722849</v>
      </c>
      <c r="W112" s="213" t="e">
        <f t="shared" ref="W112" si="154">SUM(W106:W111)</f>
        <v>#REF!</v>
      </c>
      <c r="X112" s="212">
        <f>SUM(X106:X111)</f>
        <v>96276</v>
      </c>
      <c r="Y112" s="214">
        <f>SUM(Y106:Y111)</f>
        <v>1</v>
      </c>
      <c r="Z112" s="213">
        <f>SUM(Z106:Z111)</f>
        <v>0.28916531133567308</v>
      </c>
      <c r="AC112" s="211"/>
      <c r="AD112" s="211" t="s">
        <v>60</v>
      </c>
      <c r="AE112" s="212">
        <f>SUM(AE106:AE111)</f>
        <v>23388970.322722849</v>
      </c>
      <c r="AF112" s="213" t="e">
        <f t="shared" ref="AF112" si="155">SUM(AF106:AF111)</f>
        <v>#REF!</v>
      </c>
      <c r="AG112" s="212">
        <f>SUM(AG106:AG111)</f>
        <v>967540.74066666653</v>
      </c>
      <c r="AH112" s="214">
        <f>SUM(AH106:AH111)</f>
        <v>1.0000000000000002</v>
      </c>
      <c r="AI112" s="213">
        <f>SUM(AI106:AI111)</f>
        <v>0.12424025993245882</v>
      </c>
    </row>
    <row r="113" spans="1:35" ht="12.75" thickTop="1" x14ac:dyDescent="0.2">
      <c r="A113" s="133"/>
      <c r="B113" s="133" t="s">
        <v>60</v>
      </c>
      <c r="C113" s="133"/>
      <c r="D113" s="201">
        <f>D104+D112</f>
        <v>23388970.322722849</v>
      </c>
      <c r="E113" s="165"/>
      <c r="F113" s="201">
        <f>F104+F112</f>
        <v>1126157.1721416137</v>
      </c>
      <c r="G113" s="215"/>
      <c r="H113" s="165">
        <f>H112+H104</f>
        <v>0.99999999999999989</v>
      </c>
      <c r="J113" s="133"/>
      <c r="K113" s="133" t="s">
        <v>60</v>
      </c>
      <c r="L113" s="133"/>
      <c r="M113" s="201">
        <f>M104+M112</f>
        <v>23388970.322722849</v>
      </c>
      <c r="N113" s="165"/>
      <c r="O113" s="201">
        <f>O104+O112</f>
        <v>2030220.8554980159</v>
      </c>
      <c r="P113" s="215"/>
      <c r="Q113" s="165">
        <f>Q112+Q104</f>
        <v>1</v>
      </c>
      <c r="S113" s="133"/>
      <c r="T113" s="133" t="s">
        <v>60</v>
      </c>
      <c r="U113" s="133"/>
      <c r="V113" s="201">
        <f>V104+V112</f>
        <v>23388970.322722849</v>
      </c>
      <c r="W113" s="165"/>
      <c r="X113" s="201">
        <f>X104+X112</f>
        <v>332944.5</v>
      </c>
      <c r="Y113" s="215"/>
      <c r="Z113" s="165">
        <f>Z112+Z104</f>
        <v>1</v>
      </c>
      <c r="AB113" s="133"/>
      <c r="AC113" s="133" t="s">
        <v>60</v>
      </c>
      <c r="AD113" s="133"/>
      <c r="AE113" s="201">
        <f>AE104+AE112</f>
        <v>23388970.322722849</v>
      </c>
      <c r="AF113" s="165"/>
      <c r="AG113" s="201">
        <f>AG104+AG112</f>
        <v>7787658.6960833333</v>
      </c>
      <c r="AH113" s="215"/>
      <c r="AI113" s="165">
        <f>AI112+AI104</f>
        <v>1.0000000000000002</v>
      </c>
    </row>
  </sheetData>
  <pageMargins left="0.7" right="0.7" top="0.75" bottom="0.75" header="0.3" footer="0.3"/>
  <pageSetup scale="50" orientation="landscape" horizontalDpi="1200" verticalDpi="1200" r:id="rId1"/>
  <rowBreaks count="1" manualBreakCount="1">
    <brk id="78" min="1" max="34" man="1"/>
  </rowBreaks>
  <colBreaks count="1" manualBreakCount="1">
    <brk id="18"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46B48-AC08-41D9-8B6D-9CE587F3A3BF}">
  <sheetPr>
    <tabColor theme="7" tint="0.39997558519241921"/>
  </sheetPr>
  <dimension ref="A1:W54"/>
  <sheetViews>
    <sheetView workbookViewId="0">
      <selection activeCell="F28" sqref="F28"/>
    </sheetView>
  </sheetViews>
  <sheetFormatPr defaultRowHeight="15" x14ac:dyDescent="0.25"/>
  <cols>
    <col min="2" max="2" width="22" bestFit="1" customWidth="1"/>
    <col min="3" max="3" width="15.28515625" bestFit="1" customWidth="1"/>
    <col min="5" max="5" width="12.5703125" bestFit="1" customWidth="1"/>
    <col min="8" max="8" width="22" bestFit="1" customWidth="1"/>
    <col min="9" max="9" width="15.28515625" bestFit="1" customWidth="1"/>
    <col min="10" max="10" width="6.140625" bestFit="1" customWidth="1"/>
    <col min="11" max="11" width="14.28515625" bestFit="1" customWidth="1"/>
    <col min="14" max="14" width="22" bestFit="1" customWidth="1"/>
    <col min="15" max="15" width="15.28515625" bestFit="1" customWidth="1"/>
    <col min="17" max="17" width="14.28515625" bestFit="1" customWidth="1"/>
    <col min="20" max="20" width="22" bestFit="1" customWidth="1"/>
    <col min="21" max="21" width="15.28515625" bestFit="1" customWidth="1"/>
    <col min="23" max="23" width="15.28515625" bestFit="1" customWidth="1"/>
  </cols>
  <sheetData>
    <row r="1" spans="1:23" x14ac:dyDescent="0.25">
      <c r="A1" s="1" t="s">
        <v>0</v>
      </c>
    </row>
    <row r="2" spans="1:23" x14ac:dyDescent="0.25">
      <c r="A2" s="1" t="s">
        <v>2</v>
      </c>
    </row>
    <row r="3" spans="1:23" x14ac:dyDescent="0.25">
      <c r="A3" s="2" t="s">
        <v>3</v>
      </c>
    </row>
    <row r="4" spans="1:23" x14ac:dyDescent="0.25">
      <c r="A4" s="1" t="s">
        <v>298</v>
      </c>
    </row>
    <row r="6" spans="1:23" x14ac:dyDescent="0.25">
      <c r="A6" s="1" t="s">
        <v>264</v>
      </c>
      <c r="C6" s="1">
        <f>C8+I8+O8+U8</f>
        <v>108</v>
      </c>
    </row>
    <row r="8" spans="1:23" x14ac:dyDescent="0.25">
      <c r="A8" s="1" t="s">
        <v>265</v>
      </c>
      <c r="C8" s="1">
        <f>C10+C26+C41</f>
        <v>40</v>
      </c>
      <c r="G8" s="1" t="s">
        <v>266</v>
      </c>
      <c r="I8" s="1">
        <f>I10+I26+I41</f>
        <v>31</v>
      </c>
      <c r="M8" s="1" t="s">
        <v>267</v>
      </c>
      <c r="N8" s="1"/>
      <c r="O8" s="1">
        <f>O10+O26+O41</f>
        <v>10</v>
      </c>
      <c r="S8" s="1" t="s">
        <v>268</v>
      </c>
      <c r="T8" s="1"/>
      <c r="U8" s="1">
        <f>U10+U26+U41</f>
        <v>27</v>
      </c>
    </row>
    <row r="10" spans="1:23" x14ac:dyDescent="0.25">
      <c r="A10" s="1" t="s">
        <v>120</v>
      </c>
      <c r="C10" s="1">
        <f>COUNTIF(Table1[Scope/Sub-Type],'INN Rollups 2020'!A10)</f>
        <v>19</v>
      </c>
      <c r="E10" s="58"/>
      <c r="G10" s="1" t="s">
        <v>123</v>
      </c>
      <c r="I10" s="1">
        <f>COUNTIF(Table1[Scope/Sub-Type],'INN Rollups 2020'!G10)</f>
        <v>8</v>
      </c>
      <c r="M10" s="1" t="s">
        <v>126</v>
      </c>
      <c r="O10" s="1">
        <f>COUNTIF(Table1[Scope/Sub-Type],'INN Rollups 2020'!M10)</f>
        <v>1</v>
      </c>
      <c r="S10" s="1" t="s">
        <v>129</v>
      </c>
      <c r="U10" s="1">
        <f>COUNTIF(Table1[Scope/Sub-Type],'INN Rollups 2020'!S10)</f>
        <v>5</v>
      </c>
    </row>
    <row r="11" spans="1:23" x14ac:dyDescent="0.25">
      <c r="B11" s="1"/>
    </row>
    <row r="12" spans="1:23" x14ac:dyDescent="0.25">
      <c r="B12" s="1"/>
      <c r="C12" s="65" t="s">
        <v>269</v>
      </c>
      <c r="D12" s="65" t="s">
        <v>270</v>
      </c>
      <c r="E12" s="65" t="s">
        <v>271</v>
      </c>
      <c r="H12" s="1"/>
      <c r="I12" s="65" t="s">
        <v>269</v>
      </c>
      <c r="J12" s="65" t="s">
        <v>270</v>
      </c>
      <c r="K12" s="65" t="s">
        <v>271</v>
      </c>
      <c r="N12" s="1"/>
      <c r="O12" s="65" t="s">
        <v>269</v>
      </c>
      <c r="P12" s="65" t="s">
        <v>270</v>
      </c>
      <c r="Q12" s="65" t="s">
        <v>271</v>
      </c>
      <c r="T12" s="1"/>
      <c r="U12" s="65" t="s">
        <v>269</v>
      </c>
      <c r="V12" s="65" t="s">
        <v>270</v>
      </c>
      <c r="W12" s="65" t="s">
        <v>271</v>
      </c>
    </row>
    <row r="13" spans="1:23" x14ac:dyDescent="0.25">
      <c r="B13" t="s">
        <v>272</v>
      </c>
      <c r="C13" s="128">
        <f>SUMIF(Table1[Scope/Sub-Type],'INN Rollups 2020'!A10,Table1[Total Contributed Income])</f>
        <v>4797787</v>
      </c>
      <c r="D13" s="62">
        <f>C13/C15</f>
        <v>0.6517459838344063</v>
      </c>
      <c r="E13" s="130">
        <f>AVERAGEIFS(Table1[Total Contributed Income],Table1[Scope/Sub-Type],'INN Rollups 2020'!A10,Table1[Total Contributed Income],"&gt;0")</f>
        <v>282222.76470588235</v>
      </c>
      <c r="F13" s="59"/>
      <c r="H13" t="s">
        <v>272</v>
      </c>
      <c r="I13" s="128">
        <f>SUMIF(Table1[Scope/Sub-Type],'INN Rollups 2020'!G10,Table1[Total Contributed Income])</f>
        <v>3940525.82</v>
      </c>
      <c r="J13" s="62">
        <f>I13/I15</f>
        <v>0.92559576330829163</v>
      </c>
      <c r="K13" s="130">
        <f>AVERAGEIFS(Table1[Total Contributed Income],Table1[Scope/Sub-Type],'INN Rollups 2020'!G10,Table1[Total Contributed Income],"&gt;0")</f>
        <v>492565.72749999998</v>
      </c>
      <c r="N13" t="s">
        <v>272</v>
      </c>
      <c r="O13" s="128">
        <f>SUMIF(Table1[Scope/Sub-Type],'INN Rollups 2020'!M10,Table1[Total Contributed Income])</f>
        <v>2221140</v>
      </c>
      <c r="P13" s="62">
        <f>O13/O15</f>
        <v>0.6580208005602749</v>
      </c>
      <c r="Q13" s="130">
        <f>AVERAGEIFS(Table1[Total Contributed Income],Table1[Scope/Sub-Type],'INN Rollups 2020'!M10,Table1[Total Contributed Income],"&gt;0")</f>
        <v>2221140</v>
      </c>
      <c r="T13" t="s">
        <v>272</v>
      </c>
      <c r="U13" s="128">
        <f>SUMIF(Table1[Scope/Sub-Type],'INN Rollups 2020'!S10,Table1[Total Contributed Income])</f>
        <v>46400667.020000003</v>
      </c>
      <c r="V13" s="62">
        <f>U13/U15</f>
        <v>0.97423461534569022</v>
      </c>
      <c r="W13" s="130">
        <f>AVERAGEIFS(Table1[Total Contributed Income],Table1[Scope/Sub-Type],'INN Rollups 2020'!S10,Table1[Total Contributed Income],"&gt;0")</f>
        <v>9280133.404000001</v>
      </c>
    </row>
    <row r="14" spans="1:23" x14ac:dyDescent="0.25">
      <c r="B14" s="21" t="s">
        <v>273</v>
      </c>
      <c r="C14" s="129">
        <f>SUMIF(Table1[Scope/Sub-Type],'INN Rollups 2020'!A10,Table1[Total Earned Income])</f>
        <v>2563650</v>
      </c>
      <c r="D14" s="63">
        <f>C14/C15</f>
        <v>0.34825401616559376</v>
      </c>
      <c r="E14" s="131">
        <f>AVERAGEIFS(Table1[Total Earned Income],Table1[Scope/Sub-Type],'INN Rollups 2020'!A10,Table1[Total Earned Income],"&gt;0")</f>
        <v>160228.125</v>
      </c>
      <c r="H14" s="21" t="s">
        <v>273</v>
      </c>
      <c r="I14" s="129">
        <f>SUMIF(Table1[Scope/Sub-Type],'INN Rollups 2020'!G10,Table1[Total Earned Income])</f>
        <v>316760.11</v>
      </c>
      <c r="J14" s="63">
        <f>I14/I15</f>
        <v>7.4404236691708425E-2</v>
      </c>
      <c r="K14" s="131">
        <f>AVERAGEIFS(Table1[Total Earned Income],Table1[Scope/Sub-Type],'INN Rollups 2020'!G10,Table1[Total Earned Income],"&gt;0")</f>
        <v>52793.351666666662</v>
      </c>
      <c r="N14" s="21" t="s">
        <v>273</v>
      </c>
      <c r="O14" s="129">
        <f>SUMIF(Table1[Scope/Sub-Type],'INN Rollups 2020'!M10,Table1[Total Earned Income])</f>
        <v>1154346</v>
      </c>
      <c r="P14" s="63">
        <f>O14/O15</f>
        <v>0.3419791994397251</v>
      </c>
      <c r="Q14" s="131">
        <f>AVERAGEIFS(Table1[Total Earned Income],Table1[Scope/Sub-Type],'INN Rollups 2020'!M10,Table1[Total Earned Income],"&gt;0")</f>
        <v>1154346</v>
      </c>
      <c r="T14" s="21" t="s">
        <v>273</v>
      </c>
      <c r="U14" s="129">
        <f>SUMIF(Table1[Scope/Sub-Type],'INN Rollups 2020'!S10,Table1[Total Earned Income])</f>
        <v>1227149</v>
      </c>
      <c r="V14" s="63">
        <f>U14/U15</f>
        <v>2.5765384654309831E-2</v>
      </c>
      <c r="W14" s="131">
        <f>AVERAGEIFS(Table1[Total Earned Income],Table1[Scope/Sub-Type],'INN Rollups 2020'!S10,Table1[Total Earned Income],"&gt;0")</f>
        <v>306787.25</v>
      </c>
    </row>
    <row r="15" spans="1:23" x14ac:dyDescent="0.25">
      <c r="B15" t="s">
        <v>274</v>
      </c>
      <c r="C15" s="128">
        <f>SUM(C13:C14)</f>
        <v>7361437</v>
      </c>
      <c r="D15" s="64">
        <f>SUM(D13:D14)</f>
        <v>1</v>
      </c>
      <c r="E15" s="130">
        <f>AVERAGEIFS(Table1[Total Income],Table1[Scope/Sub-Type],'INN Rollups 2020'!A10,Table1[Total Income],"&gt;0")</f>
        <v>433025.70588235295</v>
      </c>
      <c r="H15" t="s">
        <v>274</v>
      </c>
      <c r="I15" s="128">
        <f>SUM(I13:I14)</f>
        <v>4257285.93</v>
      </c>
      <c r="J15" s="64">
        <f>SUM(J13:J14)</f>
        <v>1</v>
      </c>
      <c r="K15" s="130">
        <f>AVERAGEIFS(Table1[Total Income],Table1[Scope/Sub-Type],'INN Rollups 2020'!G10,Table1[Total Income],"&gt;0")</f>
        <v>532160.74124999996</v>
      </c>
      <c r="N15" t="s">
        <v>274</v>
      </c>
      <c r="O15" s="128">
        <f>SUM(O13:O14)</f>
        <v>3375486</v>
      </c>
      <c r="P15" s="64">
        <f>SUM(P13:P14)</f>
        <v>1</v>
      </c>
      <c r="Q15" s="130">
        <f>AVERAGEIFS(Table1[Total Income],Table1[Scope/Sub-Type],'INN Rollups 2020'!M10,Table1[Total Income],"&gt;0")</f>
        <v>3375486</v>
      </c>
      <c r="T15" t="s">
        <v>274</v>
      </c>
      <c r="U15" s="128">
        <f>SUM(U13:U14)</f>
        <v>47627816.020000003</v>
      </c>
      <c r="V15" s="64">
        <f>SUM(V13:V14)</f>
        <v>1</v>
      </c>
      <c r="W15" s="130">
        <f>AVERAGEIFS(Table1[Total Income],Table1[Scope/Sub-Type],'INN Rollups 2020'!S10,Table1[Total Income],"&gt;0")</f>
        <v>9525563.2039999999</v>
      </c>
    </row>
    <row r="16" spans="1:23" x14ac:dyDescent="0.25">
      <c r="C16" s="130"/>
      <c r="E16" s="130"/>
      <c r="I16" s="130"/>
      <c r="K16" s="130"/>
      <c r="O16" s="130"/>
      <c r="Q16" s="130"/>
      <c r="U16" s="130"/>
      <c r="W16" s="130"/>
    </row>
    <row r="17" spans="1:23" x14ac:dyDescent="0.25">
      <c r="B17" t="s">
        <v>275</v>
      </c>
      <c r="C17" s="128">
        <f>SUMIF(Table1[Scope/Sub-Type],'INN Rollups 2020'!A10,Table1[Expenses - Editorial])</f>
        <v>4365032.79</v>
      </c>
      <c r="D17" s="62">
        <f>C17/C19</f>
        <v>0.64070234181962926</v>
      </c>
      <c r="E17" s="130">
        <f>AVERAGEIFS(Table1[Expenses - Editorial],Table1[Scope/Sub-Type],'INN Rollups 2020'!A10,Table1[Expenses - Editorial],"&gt;0")</f>
        <v>256766.63470588234</v>
      </c>
      <c r="H17" t="s">
        <v>275</v>
      </c>
      <c r="I17" s="128">
        <f>SUMIF(Table1[Scope/Sub-Type],'INN Rollups 2020'!G10,Table1[Expenses - Editorial])</f>
        <v>2491439.4300000002</v>
      </c>
      <c r="J17" s="62">
        <f>I17/I19</f>
        <v>0.62513581603370605</v>
      </c>
      <c r="K17" s="130">
        <f>AVERAGEIFS(Table1[Expenses - Editorial],Table1[Scope/Sub-Type],'INN Rollups 2020'!G10,Table1[Expenses - Editorial],"&gt;0")</f>
        <v>311429.92875000002</v>
      </c>
      <c r="N17" t="s">
        <v>275</v>
      </c>
      <c r="O17" s="128">
        <f>SUMIF(Table1[Scope/Sub-Type],'INN Rollups 2020'!M10,Table1[Expenses - Editorial])</f>
        <v>1539425</v>
      </c>
      <c r="P17" s="62">
        <f>O17/O19</f>
        <v>0.42327373850994338</v>
      </c>
      <c r="Q17" s="130">
        <f>AVERAGEIFS(Table1[Expenses - Editorial],Table1[Scope/Sub-Type],'INN Rollups 2020'!M10,Table1[Expenses - Editorial],"&gt;0")</f>
        <v>1539425</v>
      </c>
      <c r="T17" t="s">
        <v>275</v>
      </c>
      <c r="U17" s="128">
        <f>SUMIF(Table1[Scope/Sub-Type],'INN Rollups 2020'!S10,Table1[Expenses - Editorial])</f>
        <v>33044318</v>
      </c>
      <c r="V17" s="62">
        <f>U17/U19</f>
        <v>0.78906593988480522</v>
      </c>
      <c r="W17" s="130">
        <f>AVERAGEIFS(Table1[Expenses - Editorial],Table1[Scope/Sub-Type],'INN Rollups 2020'!S10,Table1[Expenses - Editorial],"&gt;0")</f>
        <v>6608863.5999999996</v>
      </c>
    </row>
    <row r="18" spans="1:23" x14ac:dyDescent="0.25">
      <c r="B18" s="21" t="s">
        <v>276</v>
      </c>
      <c r="C18" s="129">
        <f>SUMIF(Table1[Scope/Sub-Type],'INN Rollups 2020'!A10,Table1[Expenses - Non-Editorial])</f>
        <v>2447854.42</v>
      </c>
      <c r="D18" s="63">
        <f>C18/C19</f>
        <v>0.35929765818037079</v>
      </c>
      <c r="E18" s="131">
        <f>AVERAGEIFS(Table1[Expenses - Non-Editorial],Table1[Scope/Sub-Type],'INN Rollups 2020'!A10,Table1[Expenses - Non-Editorial],"&gt;0")</f>
        <v>143991.43647058823</v>
      </c>
      <c r="H18" s="21" t="s">
        <v>276</v>
      </c>
      <c r="I18" s="129">
        <f>SUMIF(Table1[Scope/Sub-Type],'INN Rollups 2020'!G10,Table1[Expenses - Non-Editorial])</f>
        <v>1493997.6</v>
      </c>
      <c r="J18" s="63">
        <f>I18/I19</f>
        <v>0.3748641839662939</v>
      </c>
      <c r="K18" s="131">
        <f>AVERAGEIFS(Table1[Expenses - Non-Editorial],Table1[Scope/Sub-Type],'INN Rollups 2020'!G10,Table1[Expenses - Non-Editorial],"&gt;0")</f>
        <v>186749.7</v>
      </c>
      <c r="N18" s="21" t="s">
        <v>276</v>
      </c>
      <c r="O18" s="129">
        <f>SUMIF(Table1[Scope/Sub-Type],'INN Rollups 2020'!M10,Table1[Expenses - Non-Editorial])</f>
        <v>2097524</v>
      </c>
      <c r="P18" s="63">
        <f>O18/O19</f>
        <v>0.57672626149005668</v>
      </c>
      <c r="Q18" s="131">
        <f>AVERAGEIFS(Table1[Expenses - Non-Editorial],Table1[Scope/Sub-Type],'INN Rollups 2020'!M10,Table1[Expenses - Non-Editorial],"&gt;0")</f>
        <v>2097524</v>
      </c>
      <c r="T18" s="21" t="s">
        <v>276</v>
      </c>
      <c r="U18" s="129">
        <f>SUMIF(Table1[Scope/Sub-Type],'INN Rollups 2020'!S10,Table1[Expenses - Non-Editorial])</f>
        <v>8833447</v>
      </c>
      <c r="V18" s="63">
        <f>U18/U19</f>
        <v>0.21093406011519478</v>
      </c>
      <c r="W18" s="131">
        <f>AVERAGEIFS(Table1[Expenses - Non-Editorial],Table1[Scope/Sub-Type],'INN Rollups 2020'!S10,Table1[Expenses - Non-Editorial],"&gt;0")</f>
        <v>1766689.4</v>
      </c>
    </row>
    <row r="19" spans="1:23" x14ac:dyDescent="0.25">
      <c r="B19" t="s">
        <v>277</v>
      </c>
      <c r="C19" s="128">
        <f>SUM(C17:C18)</f>
        <v>6812887.21</v>
      </c>
      <c r="D19" s="62">
        <f>SUM(D17:D18)</f>
        <v>1</v>
      </c>
      <c r="E19" s="130">
        <f>AVERAGEIFS(Table1[TOTAL EXPENSES],Table1[Scope/Sub-Type],'INN Rollups 2020'!A10,Table1[TOTAL EXPENSES],"&gt;0")</f>
        <v>400758.07117647061</v>
      </c>
      <c r="F19" s="58"/>
      <c r="H19" t="s">
        <v>277</v>
      </c>
      <c r="I19" s="128">
        <f>SUM(I17:I18)</f>
        <v>3985437.0300000003</v>
      </c>
      <c r="J19" s="62">
        <f>SUM(J17:J18)</f>
        <v>1</v>
      </c>
      <c r="K19" s="130">
        <f>AVERAGEIFS(Table1[TOTAL EXPENSES],Table1[Scope/Sub-Type],'INN Rollups 2020'!G10,Table1[TOTAL EXPENSES],"&gt;0")</f>
        <v>498179.62875000003</v>
      </c>
      <c r="N19" t="s">
        <v>277</v>
      </c>
      <c r="O19" s="128">
        <f>SUM(O17:O18)</f>
        <v>3636949</v>
      </c>
      <c r="P19" s="62">
        <f>SUM(P17:P18)</f>
        <v>1</v>
      </c>
      <c r="Q19" s="130">
        <f>AVERAGEIFS(Table1[TOTAL EXPENSES],Table1[Scope/Sub-Type],'INN Rollups 2020'!M10,Table1[TOTAL EXPENSES],"&gt;0")</f>
        <v>3636949</v>
      </c>
      <c r="T19" t="s">
        <v>277</v>
      </c>
      <c r="U19" s="128">
        <f>SUM(U17:U18)</f>
        <v>41877765</v>
      </c>
      <c r="V19" s="62">
        <f>SUM(V17:V18)</f>
        <v>1</v>
      </c>
      <c r="W19" s="130">
        <f>AVERAGEIFS(Table1[TOTAL EXPENSES],Table1[Scope/Sub-Type],'INN Rollups 2020'!S10,Table1[TOTAL EXPENSES],"&gt;0")</f>
        <v>8375553</v>
      </c>
    </row>
    <row r="21" spans="1:23" x14ac:dyDescent="0.25">
      <c r="B21" t="s">
        <v>278</v>
      </c>
      <c r="C21">
        <f>SUMIF(Table1[Scope/Sub-Type],'INN Rollups 2020'!A10,Table1[Total FTE - Editorial])</f>
        <v>98.55</v>
      </c>
      <c r="D21" s="59">
        <f>C21/C23</f>
        <v>0.81379025598678778</v>
      </c>
      <c r="E21" s="66">
        <f>AVERAGEIFS(Table1[Total FTE - Editorial],Table1[Scope/Sub-Type],'INN Rollups 2020'!A10,Table1[Total FTE - Editorial],"&gt;0")</f>
        <v>5.1868421052631577</v>
      </c>
      <c r="H21" t="s">
        <v>278</v>
      </c>
      <c r="I21">
        <f>SUMIF(Table1[Scope/Sub-Type],'INN Rollups 2020'!G10,Table1[Total FTE - Editorial])</f>
        <v>40.25</v>
      </c>
      <c r="J21" s="59">
        <f>I21/I23</f>
        <v>0.75657894736842102</v>
      </c>
      <c r="K21" s="66">
        <f>AVERAGEIFS(Table1[Total FTE - Editorial],Table1[Scope/Sub-Type],'INN Rollups 2020'!G10,Table1[Total FTE - Editorial],"&gt;0")</f>
        <v>5.75</v>
      </c>
      <c r="N21" t="s">
        <v>278</v>
      </c>
      <c r="O21">
        <f>SUMIF(Table1[Scope/Sub-Type],'INN Rollups 2020'!M10,Table1[Total FTE - Editorial])</f>
        <v>16</v>
      </c>
      <c r="P21" s="59">
        <f>O21/O23</f>
        <v>0.5423728813559322</v>
      </c>
      <c r="Q21" s="66">
        <f>AVERAGEIFS(Table1[Total FTE - Editorial],Table1[Scope/Sub-Type],'INN Rollups 2020'!M10,Table1[Total FTE - Editorial],"&gt;0")</f>
        <v>16</v>
      </c>
      <c r="T21" t="s">
        <v>278</v>
      </c>
      <c r="U21">
        <f>SUMIF(Table1[Scope/Sub-Type],'INN Rollups 2020'!S10,Table1[Total FTE - Editorial])</f>
        <v>188.5</v>
      </c>
      <c r="V21" s="59">
        <f>U21/U23</f>
        <v>0.79201680672268904</v>
      </c>
      <c r="W21" s="66">
        <f>AVERAGEIFS(Table1[Total FTE - Editorial],Table1[Scope/Sub-Type],'INN Rollups 2020'!S10,Table1[Total FTE - Editorial],"&gt;0")</f>
        <v>37.700000000000003</v>
      </c>
    </row>
    <row r="22" spans="1:23" x14ac:dyDescent="0.25">
      <c r="B22" s="21" t="s">
        <v>279</v>
      </c>
      <c r="C22" s="21">
        <f>SUMIF(Table1[Scope/Sub-Type],'INN Rollups 2020'!A10,Table1[Total FTE - Non-Editorial])</f>
        <v>22.55</v>
      </c>
      <c r="D22" s="61">
        <f>C22/C23</f>
        <v>0.18620974401321225</v>
      </c>
      <c r="E22" s="67">
        <f>AVERAGEIFS(Table1[Total FTE - Non-Editorial],Table1[Scope/Sub-Type],'INN Rollups 2020'!A10,Table1[Total FTE - Non-Editorial],"&gt;0")</f>
        <v>1.7346153846153847</v>
      </c>
      <c r="H22" s="21" t="s">
        <v>279</v>
      </c>
      <c r="I22" s="21">
        <f>SUMIF(Table1[Scope/Sub-Type],'INN Rollups 2020'!G10,Table1[Total FTE - Non-Editorial])</f>
        <v>12.95</v>
      </c>
      <c r="J22" s="61">
        <f>I22/I23</f>
        <v>0.24342105263157893</v>
      </c>
      <c r="K22" s="67">
        <f>AVERAGEIFS(Table1[Total FTE - Non-Editorial],Table1[Scope/Sub-Type],'INN Rollups 2020'!G10,Table1[Total FTE - Non-Editorial],"&gt;0")</f>
        <v>2.1583333333333332</v>
      </c>
      <c r="N22" s="21" t="s">
        <v>279</v>
      </c>
      <c r="O22" s="21">
        <f>SUMIF(Table1[Scope/Sub-Type],'INN Rollups 2020'!M10,Table1[Total FTE - Non-Editorial])</f>
        <v>13.5</v>
      </c>
      <c r="P22" s="61">
        <f>O22/O23</f>
        <v>0.4576271186440678</v>
      </c>
      <c r="Q22" s="67">
        <f>AVERAGEIFS(Table1[Total FTE - Non-Editorial],Table1[Scope/Sub-Type],'INN Rollups 2020'!M10,Table1[Total FTE - Non-Editorial],"&gt;0")</f>
        <v>13.5</v>
      </c>
      <c r="T22" s="21" t="s">
        <v>279</v>
      </c>
      <c r="U22" s="21">
        <f>SUMIF(Table1[Scope/Sub-Type],'INN Rollups 2020'!S10,Table1[Total FTE - Non-Editorial])</f>
        <v>49.5</v>
      </c>
      <c r="V22" s="61">
        <f>U22/U23</f>
        <v>0.20798319327731093</v>
      </c>
      <c r="W22" s="67">
        <f>AVERAGEIFS(Table1[Total FTE - Non-Editorial],Table1[Scope/Sub-Type],'INN Rollups 2020'!S10,Table1[Total FTE - Non-Editorial],"&gt;0")</f>
        <v>9.9</v>
      </c>
    </row>
    <row r="23" spans="1:23" x14ac:dyDescent="0.25">
      <c r="B23" t="s">
        <v>280</v>
      </c>
      <c r="C23">
        <f>SUM(C21:C22)</f>
        <v>121.1</v>
      </c>
      <c r="D23" s="60">
        <f>SUM(D21:D22)</f>
        <v>1</v>
      </c>
      <c r="E23" s="66">
        <f>AVERAGEIFS(Table1[Total FTE],Table1[Scope/Sub-Type],'INN Rollups 2020'!A10,Table1[Total FTE],"&gt;0")</f>
        <v>6.3736842105263154</v>
      </c>
      <c r="H23" t="s">
        <v>280</v>
      </c>
      <c r="I23">
        <f>SUM(I21:I22)</f>
        <v>53.2</v>
      </c>
      <c r="J23" s="60">
        <f>SUM(J21:J22)</f>
        <v>1</v>
      </c>
      <c r="K23" s="66">
        <f>AVERAGEIFS(Table1[Total FTE],Table1[Scope/Sub-Type],'INN Rollups 2020'!G10,Table1[Total FTE],"&gt;0")</f>
        <v>7.6000000000000005</v>
      </c>
      <c r="N23" t="s">
        <v>280</v>
      </c>
      <c r="O23">
        <f>SUM(O21:O22)</f>
        <v>29.5</v>
      </c>
      <c r="P23" s="60">
        <f>SUM(P21:P22)</f>
        <v>1</v>
      </c>
      <c r="Q23" s="66">
        <f>AVERAGEIFS(Table1[Total FTE],Table1[Scope/Sub-Type],'INN Rollups 2020'!M10,Table1[Total FTE],"&gt;0")</f>
        <v>29.5</v>
      </c>
      <c r="T23" t="s">
        <v>280</v>
      </c>
      <c r="U23">
        <f>SUM(U21:U22)</f>
        <v>238</v>
      </c>
      <c r="V23" s="60">
        <f>SUM(V21:V22)</f>
        <v>1</v>
      </c>
      <c r="W23" s="66">
        <f>AVERAGEIFS(Table1[Total FTE],Table1[Scope/Sub-Type],'INN Rollups 2020'!S10,Table1[Total FTE],"&gt;0")</f>
        <v>47.6</v>
      </c>
    </row>
    <row r="26" spans="1:23" x14ac:dyDescent="0.25">
      <c r="A26" s="1" t="s">
        <v>121</v>
      </c>
      <c r="C26" s="1">
        <f>COUNTIF(Table1[Scope/Sub-Type],'INN Rollups 2020'!A26)</f>
        <v>17</v>
      </c>
      <c r="G26" s="1" t="s">
        <v>124</v>
      </c>
      <c r="I26" s="1">
        <f>COUNTIF(Table1[Scope/Sub-Type],'INN Rollups 2020'!G26)</f>
        <v>20</v>
      </c>
      <c r="M26" s="1" t="s">
        <v>127</v>
      </c>
      <c r="O26" s="1">
        <f>COUNTIF(Table1[Scope/Sub-Type],'INN Rollups 2020'!M26)</f>
        <v>6</v>
      </c>
      <c r="S26" s="1" t="s">
        <v>130</v>
      </c>
      <c r="U26" s="1">
        <f>COUNTIF(Table1[Scope/Sub-Type],'INN Rollups 2020'!S26)</f>
        <v>8</v>
      </c>
    </row>
    <row r="27" spans="1:23" x14ac:dyDescent="0.25">
      <c r="B27" s="1"/>
    </row>
    <row r="28" spans="1:23" x14ac:dyDescent="0.25">
      <c r="B28" s="1"/>
      <c r="C28" s="65" t="s">
        <v>269</v>
      </c>
      <c r="D28" s="65" t="s">
        <v>270</v>
      </c>
      <c r="E28" s="65" t="s">
        <v>271</v>
      </c>
      <c r="H28" s="1"/>
      <c r="I28" s="65" t="s">
        <v>269</v>
      </c>
      <c r="J28" s="65" t="s">
        <v>270</v>
      </c>
      <c r="K28" s="65" t="s">
        <v>271</v>
      </c>
      <c r="N28" s="1"/>
      <c r="O28" s="65" t="s">
        <v>269</v>
      </c>
      <c r="P28" s="65" t="s">
        <v>270</v>
      </c>
      <c r="Q28" s="65" t="s">
        <v>271</v>
      </c>
      <c r="T28" s="1"/>
      <c r="U28" s="65" t="s">
        <v>269</v>
      </c>
      <c r="V28" s="65" t="s">
        <v>270</v>
      </c>
      <c r="W28" s="65" t="s">
        <v>271</v>
      </c>
    </row>
    <row r="29" spans="1:23" x14ac:dyDescent="0.25">
      <c r="B29" t="s">
        <v>272</v>
      </c>
      <c r="C29" s="128">
        <f>SUMIF(Table1[Scope/Sub-Type],'INN Rollups 2020'!A26,Table1[Total Contributed Income])</f>
        <v>7609162.1899999995</v>
      </c>
      <c r="D29" s="62">
        <f>C29/C31</f>
        <v>0.89609795192081099</v>
      </c>
      <c r="E29" s="130">
        <f>AVERAGEIFS(Table1[Total Contributed Income],Table1[Scope/Sub-Type],'INN Rollups 2020'!A26,Table1[Total Contributed Income],"&gt;0")</f>
        <v>507277.47933333332</v>
      </c>
      <c r="H29" t="s">
        <v>272</v>
      </c>
      <c r="I29" s="128">
        <f>SUMIF(Table1[Scope/Sub-Type],'INN Rollups 2020'!G26,Table1[Total Contributed Income])</f>
        <v>14117519.290000001</v>
      </c>
      <c r="J29" s="62">
        <f>I29/I31</f>
        <v>0.9035587480061068</v>
      </c>
      <c r="K29" s="130">
        <f>AVERAGEIFS(Table1[Total Contributed Income],Table1[Scope/Sub-Type],'INN Rollups 2020'!G26,Table1[Total Contributed Income],"&gt;0")</f>
        <v>882344.95562500006</v>
      </c>
      <c r="N29" t="s">
        <v>272</v>
      </c>
      <c r="O29" s="128">
        <f>SUMIF(Table1[Scope/Sub-Type],'INN Rollups 2020'!M26,Table1[Total Contributed Income])</f>
        <v>576757.69999999995</v>
      </c>
      <c r="P29" s="62">
        <f>O29/O31</f>
        <v>0.94285975099811026</v>
      </c>
      <c r="Q29" s="130">
        <f>AVERAGEIFS(Table1[Total Contributed Income],Table1[Scope/Sub-Type],'INN Rollups 2020'!M26,Table1[Total Contributed Income],"&gt;0")</f>
        <v>115351.54</v>
      </c>
      <c r="T29" t="s">
        <v>272</v>
      </c>
      <c r="U29" s="128">
        <f>SUMIF(Table1[Scope/Sub-Type],'INN Rollups 2020'!S26,Table1[Total Contributed Income])</f>
        <v>15390449.68</v>
      </c>
      <c r="V29" s="62">
        <f>U29/U31</f>
        <v>0.80562542152568883</v>
      </c>
      <c r="W29" s="130">
        <f>AVERAGEIFS(Table1[Total Contributed Income],Table1[Scope/Sub-Type],'INN Rollups 2020'!S26,Table1[Total Contributed Income],"&gt;0")</f>
        <v>1923806.21</v>
      </c>
    </row>
    <row r="30" spans="1:23" x14ac:dyDescent="0.25">
      <c r="B30" s="21" t="s">
        <v>273</v>
      </c>
      <c r="C30" s="129">
        <f>SUMIF(Table1[Scope/Sub-Type],'INN Rollups 2020'!A26,Table1[Total Earned Income])</f>
        <v>882278.03</v>
      </c>
      <c r="D30" s="63">
        <f>C30/C31</f>
        <v>0.10390204807918911</v>
      </c>
      <c r="E30" s="131">
        <f>AVERAGEIFS(Table1[Total Earned Income],Table1[Scope/Sub-Type],'INN Rollups 2020'!A26,Table1[Total Earned Income],"&gt;0")</f>
        <v>73523.169166666674</v>
      </c>
      <c r="H30" s="21" t="s">
        <v>273</v>
      </c>
      <c r="I30" s="129">
        <f>SUMIF(Table1[Scope/Sub-Type],'INN Rollups 2020'!G26,Table1[Total Earned Income])</f>
        <v>1506832</v>
      </c>
      <c r="J30" s="63">
        <f>I30/I31</f>
        <v>9.6441251993893182E-2</v>
      </c>
      <c r="K30" s="131">
        <f>AVERAGEIFS(Table1[Total Earned Income],Table1[Scope/Sub-Type],'INN Rollups 2020'!G26,Table1[Total Earned Income],"&gt;0")</f>
        <v>125569.33333333333</v>
      </c>
      <c r="N30" s="21" t="s">
        <v>273</v>
      </c>
      <c r="O30" s="129">
        <f>SUMIF(Table1[Scope/Sub-Type],'INN Rollups 2020'!M26,Table1[Total Earned Income])</f>
        <v>34953.32</v>
      </c>
      <c r="P30" s="63">
        <f>O30/O31</f>
        <v>5.7140249001889826E-2</v>
      </c>
      <c r="Q30" s="131">
        <f>AVERAGEIFS(Table1[Total Earned Income],Table1[Scope/Sub-Type],'INN Rollups 2020'!M26,Table1[Total Earned Income],"&gt;0")</f>
        <v>17476.66</v>
      </c>
      <c r="T30" s="21" t="s">
        <v>273</v>
      </c>
      <c r="U30" s="129">
        <f>SUMIF(Table1[Scope/Sub-Type],'INN Rollups 2020'!S26,Table1[Total Earned Income])</f>
        <v>3713279.26</v>
      </c>
      <c r="V30" s="63">
        <f>U30/U31</f>
        <v>0.19437457847431122</v>
      </c>
      <c r="W30" s="131">
        <f>AVERAGEIFS(Table1[Total Earned Income],Table1[Scope/Sub-Type],'INN Rollups 2020'!S26,Table1[Total Earned Income],"&gt;0")</f>
        <v>464159.90749999997</v>
      </c>
    </row>
    <row r="31" spans="1:23" x14ac:dyDescent="0.25">
      <c r="B31" t="s">
        <v>274</v>
      </c>
      <c r="C31" s="128">
        <f>SUM(C29:C30)</f>
        <v>8491440.2199999988</v>
      </c>
      <c r="D31" s="64">
        <f>SUM(D29:D30)</f>
        <v>1</v>
      </c>
      <c r="E31" s="130">
        <f>AVERAGEIFS(Table1[Total Income],Table1[Scope/Sub-Type],'INN Rollups 2020'!A26,Table1[Total Income],"&gt;0")</f>
        <v>566096.01466666663</v>
      </c>
      <c r="H31" t="s">
        <v>274</v>
      </c>
      <c r="I31" s="128">
        <f>SUM(I29:I30)</f>
        <v>15624351.290000001</v>
      </c>
      <c r="J31" s="64">
        <f>SUM(J29:J30)</f>
        <v>1</v>
      </c>
      <c r="K31" s="130">
        <f>AVERAGEIFS(Table1[Total Income],Table1[Scope/Sub-Type],'INN Rollups 2020'!G26,Table1[Total Income],"&gt;0")</f>
        <v>976521.95562500006</v>
      </c>
      <c r="N31" t="s">
        <v>274</v>
      </c>
      <c r="O31" s="128">
        <f>SUM(O29:O30)</f>
        <v>611711.0199999999</v>
      </c>
      <c r="P31" s="64">
        <f>SUM(P29:P30)</f>
        <v>1</v>
      </c>
      <c r="Q31" s="130">
        <f>AVERAGEIFS(Table1[Total Income],Table1[Scope/Sub-Type],'INN Rollups 2020'!M26,Table1[Total Income],"&gt;0")</f>
        <v>122342.204</v>
      </c>
      <c r="T31" t="s">
        <v>274</v>
      </c>
      <c r="U31" s="128">
        <f>SUM(U29:U30)</f>
        <v>19103728.939999998</v>
      </c>
      <c r="V31" s="64">
        <f>SUM(V29:V30)</f>
        <v>1</v>
      </c>
      <c r="W31" s="130">
        <f>AVERAGEIFS(Table1[Total Income],Table1[Scope/Sub-Type],'INN Rollups 2020'!S26,Table1[Total Income],"&gt;0")</f>
        <v>2387966.1174999997</v>
      </c>
    </row>
    <row r="32" spans="1:23" x14ac:dyDescent="0.25">
      <c r="C32" s="130"/>
      <c r="E32" s="130"/>
      <c r="I32" s="130"/>
      <c r="K32" s="130"/>
      <c r="O32" s="130"/>
      <c r="Q32" s="130"/>
      <c r="U32" s="130"/>
      <c r="W32" s="130"/>
    </row>
    <row r="33" spans="1:23" x14ac:dyDescent="0.25">
      <c r="B33" t="s">
        <v>275</v>
      </c>
      <c r="C33" s="128">
        <f>SUMIF(Table1[Scope/Sub-Type],'INN Rollups 2020'!A26,Table1[Expenses - Editorial])</f>
        <v>5410486.1699999999</v>
      </c>
      <c r="D33" s="62">
        <f>C33/C35</f>
        <v>0.6673392459457973</v>
      </c>
      <c r="E33" s="130">
        <f>AVERAGEIFS(Table1[Expenses - Editorial],Table1[Scope/Sub-Type],'INN Rollups 2020'!A26,Table1[Expenses - Editorial],"&gt;0")</f>
        <v>360699.07799999998</v>
      </c>
      <c r="H33" t="s">
        <v>275</v>
      </c>
      <c r="I33" s="128">
        <f>SUMIF(Table1[Scope/Sub-Type],'INN Rollups 2020'!G26,Table1[Expenses - Editorial])</f>
        <v>7269639.2800000003</v>
      </c>
      <c r="J33" s="62">
        <f>I33/I35</f>
        <v>0.68057057970413692</v>
      </c>
      <c r="K33" s="130">
        <f>AVERAGEIFS(Table1[Expenses - Editorial],Table1[Scope/Sub-Type],'INN Rollups 2020'!G26,Table1[Expenses - Editorial],"&gt;0")</f>
        <v>454352.45500000002</v>
      </c>
      <c r="N33" t="s">
        <v>275</v>
      </c>
      <c r="O33" s="128">
        <f>SUMIF(Table1[Scope/Sub-Type],'INN Rollups 2020'!M26,Table1[Expenses - Editorial])</f>
        <v>388781.54</v>
      </c>
      <c r="P33" s="62">
        <f>O33/O35</f>
        <v>0.58030890049691164</v>
      </c>
      <c r="Q33" s="130">
        <f>AVERAGEIFS(Table1[Expenses - Editorial],Table1[Scope/Sub-Type],'INN Rollups 2020'!M26,Table1[Expenses - Editorial],"&gt;0")</f>
        <v>77756.30799999999</v>
      </c>
      <c r="T33" t="s">
        <v>275</v>
      </c>
      <c r="U33" s="128">
        <f>SUMIF(Table1[Scope/Sub-Type],'INN Rollups 2020'!S26,Table1[Expenses - Editorial])</f>
        <v>13467691</v>
      </c>
      <c r="V33" s="62">
        <f>U33/U35</f>
        <v>0.71275982618168532</v>
      </c>
      <c r="W33" s="130">
        <f>AVERAGEIFS(Table1[Expenses - Editorial],Table1[Scope/Sub-Type],'INN Rollups 2020'!S26,Table1[Expenses - Editorial],"&gt;0")</f>
        <v>1683461.375</v>
      </c>
    </row>
    <row r="34" spans="1:23" x14ac:dyDescent="0.25">
      <c r="B34" s="21" t="s">
        <v>276</v>
      </c>
      <c r="C34" s="129">
        <f>SUMIF(Table1[Scope/Sub-Type],'INN Rollups 2020'!A26,Table1[Expenses - Non-Editorial])</f>
        <v>2697063.63</v>
      </c>
      <c r="D34" s="63">
        <f>C34/C35</f>
        <v>0.33266075405420265</v>
      </c>
      <c r="E34" s="131">
        <f>AVERAGEIFS(Table1[Expenses - Non-Editorial],Table1[Scope/Sub-Type],'INN Rollups 2020'!A26,Table1[Expenses - Non-Editorial],"&gt;0")</f>
        <v>179804.242</v>
      </c>
      <c r="H34" s="21" t="s">
        <v>276</v>
      </c>
      <c r="I34" s="129">
        <f>SUMIF(Table1[Scope/Sub-Type],'INN Rollups 2020'!G26,Table1[Expenses - Non-Editorial])</f>
        <v>3412043.85</v>
      </c>
      <c r="J34" s="63">
        <f>I34/I35</f>
        <v>0.31942942029586302</v>
      </c>
      <c r="K34" s="131">
        <f>AVERAGEIFS(Table1[Expenses - Non-Editorial],Table1[Scope/Sub-Type],'INN Rollups 2020'!G26,Table1[Expenses - Non-Editorial],"&gt;0")</f>
        <v>213252.74062500001</v>
      </c>
      <c r="N34" s="21" t="s">
        <v>276</v>
      </c>
      <c r="O34" s="129">
        <f>SUMIF(Table1[Scope/Sub-Type],'INN Rollups 2020'!M26,Table1[Expenses - Non-Editorial])</f>
        <v>281174.65000000002</v>
      </c>
      <c r="P34" s="63">
        <f>O34/O35</f>
        <v>0.41969109950308847</v>
      </c>
      <c r="Q34" s="131">
        <f>AVERAGEIFS(Table1[Expenses - Non-Editorial],Table1[Scope/Sub-Type],'INN Rollups 2020'!M26,Table1[Expenses - Non-Editorial],"&gt;0")</f>
        <v>56234.930000000008</v>
      </c>
      <c r="T34" s="21" t="s">
        <v>276</v>
      </c>
      <c r="U34" s="129">
        <f>SUMIF(Table1[Scope/Sub-Type],'INN Rollups 2020'!S26,Table1[Expenses - Non-Editorial])</f>
        <v>5427441</v>
      </c>
      <c r="V34" s="63">
        <f>U34/U35</f>
        <v>0.28724017381831468</v>
      </c>
      <c r="W34" s="131">
        <f>AVERAGEIFS(Table1[Expenses - Non-Editorial],Table1[Scope/Sub-Type],'INN Rollups 2020'!S26,Table1[Expenses - Non-Editorial],"&gt;0")</f>
        <v>678430.125</v>
      </c>
    </row>
    <row r="35" spans="1:23" x14ac:dyDescent="0.25">
      <c r="B35" t="s">
        <v>277</v>
      </c>
      <c r="C35" s="128">
        <f>SUM(C33:C34)</f>
        <v>8107549.7999999998</v>
      </c>
      <c r="D35" s="62">
        <f>SUM(D33:D34)</f>
        <v>1</v>
      </c>
      <c r="E35" s="130">
        <f>AVERAGEIFS(Table1[TOTAL EXPENSES],Table1[Scope/Sub-Type],'INN Rollups 2020'!A26,Table1[TOTAL EXPENSES],"&gt;0")</f>
        <v>540503.31999999995</v>
      </c>
      <c r="H35" t="s">
        <v>277</v>
      </c>
      <c r="I35" s="128">
        <f>SUM(I33:I34)</f>
        <v>10681683.130000001</v>
      </c>
      <c r="J35" s="62">
        <f>SUM(J33:J34)</f>
        <v>1</v>
      </c>
      <c r="K35" s="130">
        <f>AVERAGEIFS(Table1[TOTAL EXPENSES],Table1[Scope/Sub-Type],'INN Rollups 2020'!G26,Table1[TOTAL EXPENSES],"&gt;0")</f>
        <v>667605.19562499993</v>
      </c>
      <c r="N35" t="s">
        <v>277</v>
      </c>
      <c r="O35" s="128">
        <f>SUM(O33:O34)</f>
        <v>669956.18999999994</v>
      </c>
      <c r="P35" s="62">
        <f>SUM(P33:P34)</f>
        <v>1</v>
      </c>
      <c r="Q35" s="130">
        <f>AVERAGEIFS(Table1[TOTAL EXPENSES],Table1[Scope/Sub-Type],'INN Rollups 2020'!M26,Table1[TOTAL EXPENSES],"&gt;0")</f>
        <v>133991.23799999998</v>
      </c>
      <c r="T35" t="s">
        <v>277</v>
      </c>
      <c r="U35" s="128">
        <f>SUM(U33:U34)</f>
        <v>18895132</v>
      </c>
      <c r="V35" s="62">
        <f>SUM(V33:V34)</f>
        <v>1</v>
      </c>
      <c r="W35" s="130">
        <f>AVERAGEIFS(Table1[TOTAL EXPENSES],Table1[Scope/Sub-Type],'INN Rollups 2020'!S26,Table1[TOTAL EXPENSES],"&gt;0")</f>
        <v>2361891.5</v>
      </c>
    </row>
    <row r="37" spans="1:23" x14ac:dyDescent="0.25">
      <c r="B37" t="s">
        <v>278</v>
      </c>
      <c r="C37">
        <f>SUMIF(Table1[Scope/Sub-Type],'INN Rollups 2020'!A26,Table1[Total FTE - Editorial])</f>
        <v>71.75</v>
      </c>
      <c r="D37" s="59">
        <f>C37/C39</f>
        <v>0.77904451682953313</v>
      </c>
      <c r="E37" s="66">
        <f>AVERAGEIFS(Table1[Total FTE - Editorial],Table1[Scope/Sub-Type],'INN Rollups 2020'!A26,Table1[Total FTE - Editorial],"&gt;0")</f>
        <v>4.484375</v>
      </c>
      <c r="H37" t="s">
        <v>278</v>
      </c>
      <c r="I37">
        <f>SUMIF(Table1[Scope/Sub-Type],'INN Rollups 2020'!G26,Table1[Total FTE - Editorial])</f>
        <v>127.5</v>
      </c>
      <c r="J37" s="59">
        <f>I37/I39</f>
        <v>0.75510808409831209</v>
      </c>
      <c r="K37" s="66">
        <f>AVERAGEIFS(Table1[Total FTE - Editorial],Table1[Scope/Sub-Type],'INN Rollups 2020'!G26,Table1[Total FTE - Editorial],"&gt;0")</f>
        <v>6.375</v>
      </c>
      <c r="N37" t="s">
        <v>278</v>
      </c>
      <c r="O37">
        <f>SUMIF(Table1[Scope/Sub-Type],'INN Rollups 2020'!M26,Table1[Total FTE - Editorial])</f>
        <v>13.5</v>
      </c>
      <c r="P37" s="59">
        <f>O37/O39</f>
        <v>0.83076923076923082</v>
      </c>
      <c r="Q37" s="66">
        <f>AVERAGEIFS(Table1[Total FTE - Editorial],Table1[Scope/Sub-Type],'INN Rollups 2020'!M26,Table1[Total FTE - Editorial],"&gt;0")</f>
        <v>2.25</v>
      </c>
      <c r="T37" t="s">
        <v>278</v>
      </c>
      <c r="U37">
        <f>SUMIF(Table1[Scope/Sub-Type],'INN Rollups 2020'!S26,Table1[Total FTE - Editorial])</f>
        <v>90.375</v>
      </c>
      <c r="V37" s="59">
        <f>U37/U39</f>
        <v>0.72956609485368318</v>
      </c>
      <c r="W37" s="66">
        <f>AVERAGEIFS(Table1[Total FTE - Editorial],Table1[Scope/Sub-Type],'INN Rollups 2020'!S26,Table1[Total FTE - Editorial],"&gt;0")</f>
        <v>11.296875</v>
      </c>
    </row>
    <row r="38" spans="1:23" x14ac:dyDescent="0.25">
      <c r="B38" s="21" t="s">
        <v>279</v>
      </c>
      <c r="C38" s="21">
        <f>SUMIF(Table1[Scope/Sub-Type],'INN Rollups 2020'!A26,Table1[Total FTE - Non-Editorial])</f>
        <v>20.350000000000001</v>
      </c>
      <c r="D38" s="61">
        <f>C38/C39</f>
        <v>0.22095548317046693</v>
      </c>
      <c r="E38" s="67">
        <f>AVERAGEIFS(Table1[Total FTE - Non-Editorial],Table1[Scope/Sub-Type],'INN Rollups 2020'!A26,Table1[Total FTE - Non-Editorial],"&gt;0")</f>
        <v>2.0350000000000001</v>
      </c>
      <c r="H38" s="21" t="s">
        <v>279</v>
      </c>
      <c r="I38" s="21">
        <f>SUMIF(Table1[Scope/Sub-Type],'INN Rollups 2020'!G26,Table1[Total FTE - Non-Editorial])</f>
        <v>41.35</v>
      </c>
      <c r="J38" s="61">
        <f>I38/I39</f>
        <v>0.24489191590168791</v>
      </c>
      <c r="K38" s="67">
        <f>AVERAGEIFS(Table1[Total FTE - Non-Editorial],Table1[Scope/Sub-Type],'INN Rollups 2020'!G26,Table1[Total FTE - Non-Editorial],"&gt;0")</f>
        <v>2.5843750000000001</v>
      </c>
      <c r="N38" s="21" t="s">
        <v>279</v>
      </c>
      <c r="O38" s="21">
        <f>SUMIF(Table1[Scope/Sub-Type],'INN Rollups 2020'!M26,Table1[Total FTE - Non-Editorial])</f>
        <v>2.75</v>
      </c>
      <c r="P38" s="61">
        <f>O38/O39</f>
        <v>0.16923076923076924</v>
      </c>
      <c r="Q38" s="67">
        <f>AVERAGEIFS(Table1[Total FTE - Non-Editorial],Table1[Scope/Sub-Type],'INN Rollups 2020'!M26,Table1[Total FTE - Non-Editorial],"&gt;0")</f>
        <v>1.375</v>
      </c>
      <c r="T38" s="21" t="s">
        <v>279</v>
      </c>
      <c r="U38" s="21">
        <f>SUMIF(Table1[Scope/Sub-Type],'INN Rollups 2020'!S26,Table1[Total FTE - Non-Editorial])</f>
        <v>33.5</v>
      </c>
      <c r="V38" s="61">
        <f>U38/U39</f>
        <v>0.27043390514631688</v>
      </c>
      <c r="W38" s="67">
        <f>AVERAGEIFS(Table1[Total FTE - Non-Editorial],Table1[Scope/Sub-Type],'INN Rollups 2020'!S26,Table1[Total FTE - Non-Editorial],"&gt;0")</f>
        <v>4.7857142857142856</v>
      </c>
    </row>
    <row r="39" spans="1:23" x14ac:dyDescent="0.25">
      <c r="B39" t="s">
        <v>280</v>
      </c>
      <c r="C39">
        <f>SUM(C37:C38)</f>
        <v>92.1</v>
      </c>
      <c r="D39" s="60">
        <f>SUM(D37:D38)</f>
        <v>1</v>
      </c>
      <c r="E39" s="66">
        <f>AVERAGEIFS(Table1[Total FTE],Table1[Scope/Sub-Type],'INN Rollups 2020'!A26,Table1[Total FTE],"&gt;0")</f>
        <v>5.7562499999999996</v>
      </c>
      <c r="H39" t="s">
        <v>280</v>
      </c>
      <c r="I39">
        <f>SUM(I37:I38)</f>
        <v>168.85</v>
      </c>
      <c r="J39" s="60">
        <f>SUM(J37:J38)</f>
        <v>1</v>
      </c>
      <c r="K39" s="66">
        <f>AVERAGEIFS(Table1[Total FTE],Table1[Scope/Sub-Type],'INN Rollups 2020'!G26,Table1[Total FTE],"&gt;0")</f>
        <v>8.442499999999999</v>
      </c>
      <c r="N39" t="s">
        <v>280</v>
      </c>
      <c r="O39">
        <f>SUM(O37:O38)</f>
        <v>16.25</v>
      </c>
      <c r="P39" s="60">
        <f>SUM(P37:P38)</f>
        <v>1</v>
      </c>
      <c r="Q39" s="66">
        <f>AVERAGEIFS(Table1[Total FTE],Table1[Scope/Sub-Type],'INN Rollups 2020'!M26,Table1[Total FTE],"&gt;0")</f>
        <v>2.7083333333333335</v>
      </c>
      <c r="T39" t="s">
        <v>280</v>
      </c>
      <c r="U39">
        <f>SUM(U37:U38)</f>
        <v>123.875</v>
      </c>
      <c r="V39" s="60">
        <f>SUM(V37:V38)</f>
        <v>1</v>
      </c>
      <c r="W39" s="66">
        <f>AVERAGEIFS(Table1[Total FTE],Table1[Scope/Sub-Type],'INN Rollups 2020'!S26,Table1[Total FTE],"&gt;0")</f>
        <v>15.484375</v>
      </c>
    </row>
    <row r="41" spans="1:23" x14ac:dyDescent="0.25">
      <c r="A41" s="1" t="s">
        <v>122</v>
      </c>
      <c r="C41" s="1">
        <f>COUNTIF(Table1[Scope/Sub-Type],'INN Rollups 2020'!A41)</f>
        <v>4</v>
      </c>
      <c r="G41" s="1" t="s">
        <v>125</v>
      </c>
      <c r="I41" s="1">
        <f>COUNTIF(Table1[Scope/Sub-Type],'INN Rollups 2020'!G41)</f>
        <v>3</v>
      </c>
      <c r="M41" s="1" t="s">
        <v>128</v>
      </c>
      <c r="O41" s="1">
        <f>COUNTIF(Table1[Scope/Sub-Type],'INN Rollups 2020'!M41)</f>
        <v>3</v>
      </c>
      <c r="S41" s="1" t="s">
        <v>131</v>
      </c>
      <c r="U41" s="1">
        <f>COUNTIF(Table1[Scope/Sub-Type],'INN Rollups 2020'!S41)</f>
        <v>14</v>
      </c>
    </row>
    <row r="42" spans="1:23" x14ac:dyDescent="0.25">
      <c r="B42" s="1"/>
    </row>
    <row r="43" spans="1:23" x14ac:dyDescent="0.25">
      <c r="B43" s="1"/>
      <c r="C43" s="65" t="s">
        <v>269</v>
      </c>
      <c r="D43" s="65" t="s">
        <v>270</v>
      </c>
      <c r="E43" s="65" t="s">
        <v>271</v>
      </c>
      <c r="H43" s="1"/>
      <c r="I43" s="65" t="s">
        <v>269</v>
      </c>
      <c r="J43" s="65" t="s">
        <v>270</v>
      </c>
      <c r="K43" s="65" t="s">
        <v>271</v>
      </c>
      <c r="N43" s="1"/>
      <c r="O43" s="65" t="s">
        <v>269</v>
      </c>
      <c r="P43" s="65" t="s">
        <v>270</v>
      </c>
      <c r="Q43" s="65" t="s">
        <v>271</v>
      </c>
      <c r="T43" s="1"/>
      <c r="U43" s="65" t="s">
        <v>269</v>
      </c>
      <c r="V43" s="65" t="s">
        <v>270</v>
      </c>
      <c r="W43" s="65" t="s">
        <v>271</v>
      </c>
    </row>
    <row r="44" spans="1:23" x14ac:dyDescent="0.25">
      <c r="B44" t="s">
        <v>272</v>
      </c>
      <c r="C44" s="128">
        <f>SUMIF(Table1[Scope/Sub-Type],'INN Rollups 2020'!A41,Table1[Total Contributed Income])</f>
        <v>1297835.92</v>
      </c>
      <c r="D44" s="62">
        <f>C44/C46</f>
        <v>0.58811634024016635</v>
      </c>
      <c r="E44" s="130">
        <f>AVERAGEIFS(Table1[Total Contributed Income],Table1[Scope/Sub-Type],'INN Rollups 2020'!A41,Table1[Total Contributed Income],"&gt;0")</f>
        <v>324458.98</v>
      </c>
      <c r="H44" t="s">
        <v>272</v>
      </c>
      <c r="I44" s="128">
        <f>SUMIF(Table1[Scope/Sub-Type],'INN Rollups 2020'!G41,Table1[Total Contributed Income])</f>
        <v>614121</v>
      </c>
      <c r="J44" s="62">
        <f>I44/I46</f>
        <v>0.78302995838263501</v>
      </c>
      <c r="K44" s="130">
        <f>AVERAGEIFS(Table1[Total Contributed Income],Table1[Scope/Sub-Type],'INN Rollups 2020'!G41,Table1[Total Contributed Income],"&gt;0")</f>
        <v>204707</v>
      </c>
      <c r="N44" t="s">
        <v>272</v>
      </c>
      <c r="O44" s="128">
        <f>SUMIF(Table1[Scope/Sub-Type],'INN Rollups 2020'!M41,Table1[Total Contributed Income])</f>
        <v>1092555.06</v>
      </c>
      <c r="P44" s="62">
        <f>O44/O46</f>
        <v>0.96990559037481705</v>
      </c>
      <c r="Q44" s="130">
        <f>AVERAGEIFS(Table1[Total Contributed Income],Table1[Scope/Sub-Type],'INN Rollups 2020'!M41,Table1[Total Contributed Income],"&gt;0")</f>
        <v>546277.53</v>
      </c>
      <c r="T44" t="s">
        <v>272</v>
      </c>
      <c r="U44" s="128">
        <f>SUMIF(Table1[Scope/Sub-Type],'INN Rollups 2020'!S41,Table1[Total Contributed Income])</f>
        <v>23066793.050000001</v>
      </c>
      <c r="V44" s="62">
        <f>U44/U46</f>
        <v>0.92691465343397161</v>
      </c>
      <c r="W44" s="130">
        <f>AVERAGEIFS(Table1[Total Contributed Income],Table1[Scope/Sub-Type],'INN Rollups 2020'!S41,Table1[Total Contributed Income],"&gt;0")</f>
        <v>2306679.3050000002</v>
      </c>
    </row>
    <row r="45" spans="1:23" x14ac:dyDescent="0.25">
      <c r="B45" s="21" t="s">
        <v>273</v>
      </c>
      <c r="C45" s="129">
        <f>SUMIF(Table1[Scope/Sub-Type],'INN Rollups 2020'!A41,Table1[Total Earned Income])</f>
        <v>908931.4</v>
      </c>
      <c r="D45" s="63">
        <f>C45/C46</f>
        <v>0.41188365975983371</v>
      </c>
      <c r="E45" s="131">
        <f>AVERAGEIFS(Table1[Total Earned Income],Table1[Scope/Sub-Type],'INN Rollups 2020'!A41,Table1[Total Earned Income],"&gt;0")</f>
        <v>302977.13333333336</v>
      </c>
      <c r="H45" s="21" t="s">
        <v>273</v>
      </c>
      <c r="I45" s="129">
        <f>SUMIF(Table1[Scope/Sub-Type],'INN Rollups 2020'!G41,Table1[Total Earned Income])</f>
        <v>170167</v>
      </c>
      <c r="J45" s="63">
        <f>I45/I46</f>
        <v>0.21697004161736505</v>
      </c>
      <c r="K45" s="131">
        <f>AVERAGEIFS(Table1[Total Earned Income],Table1[Scope/Sub-Type],'INN Rollups 2020'!G41,Table1[Total Earned Income],"&gt;0")</f>
        <v>56722.333333333336</v>
      </c>
      <c r="N45" s="21" t="s">
        <v>273</v>
      </c>
      <c r="O45" s="129">
        <f>SUMIF(Table1[Scope/Sub-Type],'INN Rollups 2020'!M41,Table1[Total Earned Income])</f>
        <v>33900</v>
      </c>
      <c r="P45" s="63">
        <f>O45/O46</f>
        <v>3.0094409625182915E-2</v>
      </c>
      <c r="Q45" s="131">
        <f>AVERAGEIFS(Table1[Total Earned Income],Table1[Scope/Sub-Type],'INN Rollups 2020'!M41,Table1[Total Earned Income],"&gt;0")</f>
        <v>16950</v>
      </c>
      <c r="T45" s="21" t="s">
        <v>273</v>
      </c>
      <c r="U45" s="129">
        <f>SUMIF(Table1[Scope/Sub-Type],'INN Rollups 2020'!S41,Table1[Total Earned Income])</f>
        <v>1818770</v>
      </c>
      <c r="V45" s="63">
        <f>U45/U46</f>
        <v>7.3085346566028372E-2</v>
      </c>
      <c r="W45" s="131">
        <f>AVERAGEIFS(Table1[Total Earned Income],Table1[Scope/Sub-Type],'INN Rollups 2020'!S41,Table1[Total Earned Income],"&gt;0")</f>
        <v>202085.55555555556</v>
      </c>
    </row>
    <row r="46" spans="1:23" x14ac:dyDescent="0.25">
      <c r="B46" t="s">
        <v>274</v>
      </c>
      <c r="C46" s="128">
        <f>SUM(C44:C45)</f>
        <v>2206767.3199999998</v>
      </c>
      <c r="D46" s="64">
        <f>SUM(D44:D45)</f>
        <v>1</v>
      </c>
      <c r="E46" s="130">
        <f>AVERAGEIFS(Table1[Total Income],Table1[Scope/Sub-Type],'INN Rollups 2020'!A41,Table1[Total Income],"&gt;0")</f>
        <v>551691.82999999996</v>
      </c>
      <c r="H46" t="s">
        <v>274</v>
      </c>
      <c r="I46" s="128">
        <f>SUM(I44:I45)</f>
        <v>784288</v>
      </c>
      <c r="J46" s="64">
        <f>SUM(J44:J45)</f>
        <v>1</v>
      </c>
      <c r="K46" s="130">
        <f>AVERAGEIFS(Table1[Total Income],Table1[Scope/Sub-Type],'INN Rollups 2020'!G41,Table1[Total Income],"&gt;0")</f>
        <v>261429.33333333334</v>
      </c>
      <c r="N46" t="s">
        <v>274</v>
      </c>
      <c r="O46" s="128">
        <f>SUM(O44:O45)</f>
        <v>1126455.06</v>
      </c>
      <c r="P46" s="64">
        <f>SUM(P44:P45)</f>
        <v>1</v>
      </c>
      <c r="Q46" s="130">
        <f>AVERAGEIFS(Table1[Total Income],Table1[Scope/Sub-Type],'INN Rollups 2020'!M41,Table1[Total Income],"&gt;0")</f>
        <v>563227.53</v>
      </c>
      <c r="T46" t="s">
        <v>274</v>
      </c>
      <c r="U46" s="128">
        <f>SUM(U44:U45)</f>
        <v>24885563.050000001</v>
      </c>
      <c r="V46" s="64">
        <f>SUM(V44:V45)</f>
        <v>1</v>
      </c>
      <c r="W46" s="130">
        <f>AVERAGEIFS(Table1[Total Income],Table1[Scope/Sub-Type],'INN Rollups 2020'!S41,Table1[Total Income],"&gt;0")</f>
        <v>2488556.3050000002</v>
      </c>
    </row>
    <row r="47" spans="1:23" x14ac:dyDescent="0.25">
      <c r="C47" s="130"/>
      <c r="E47" s="130"/>
      <c r="I47" s="130"/>
      <c r="K47" s="130"/>
      <c r="O47" s="130"/>
      <c r="Q47" s="130"/>
      <c r="U47" s="130"/>
      <c r="W47" s="130"/>
    </row>
    <row r="48" spans="1:23" x14ac:dyDescent="0.25">
      <c r="B48" t="s">
        <v>275</v>
      </c>
      <c r="C48" s="128">
        <f>SUMIF(Table1[Scope/Sub-Type],'INN Rollups 2020'!A41,Table1[Expenses - Editorial])</f>
        <v>745023</v>
      </c>
      <c r="D48" s="62">
        <f>C48/C50</f>
        <v>0.33627956291325561</v>
      </c>
      <c r="E48" s="130">
        <f>AVERAGEIFS(Table1[Expenses - Editorial],Table1[Scope/Sub-Type],'INN Rollups 2020'!A41,Table1[Expenses - Editorial],"&gt;0")</f>
        <v>248341</v>
      </c>
      <c r="H48" t="s">
        <v>275</v>
      </c>
      <c r="I48" s="128">
        <f>SUMIF(Table1[Scope/Sub-Type],'INN Rollups 2020'!G41,Table1[Expenses - Editorial])</f>
        <v>468663</v>
      </c>
      <c r="J48" s="62">
        <f>I48/I50</f>
        <v>0.77126875250966009</v>
      </c>
      <c r="K48" s="130">
        <f>AVERAGEIFS(Table1[Expenses - Editorial],Table1[Scope/Sub-Type],'INN Rollups 2020'!G41,Table1[Expenses - Editorial],"&gt;0")</f>
        <v>156221</v>
      </c>
      <c r="N48" t="s">
        <v>275</v>
      </c>
      <c r="O48" s="128">
        <f>SUMIF(Table1[Scope/Sub-Type],'INN Rollups 2020'!M41,Table1[Expenses - Editorial])</f>
        <v>853469.73</v>
      </c>
      <c r="P48" s="62">
        <f>O48/O50</f>
        <v>0.79363163484932486</v>
      </c>
      <c r="Q48" s="130">
        <f>AVERAGEIFS(Table1[Expenses - Editorial],Table1[Scope/Sub-Type],'INN Rollups 2020'!M41,Table1[Expenses - Editorial],"&gt;0")</f>
        <v>426734.86499999999</v>
      </c>
      <c r="T48" t="s">
        <v>275</v>
      </c>
      <c r="U48" s="128">
        <f>SUMIF(Table1[Scope/Sub-Type],'INN Rollups 2020'!S41,Table1[Expenses - Editorial])</f>
        <v>13659065</v>
      </c>
      <c r="V48" s="62">
        <f>U48/U50</f>
        <v>0.58640593943660568</v>
      </c>
      <c r="W48" s="130">
        <f>AVERAGEIFS(Table1[Expenses - Editorial],Table1[Scope/Sub-Type],'INN Rollups 2020'!S41,Table1[Expenses - Editorial],"&gt;0")</f>
        <v>1365906.5</v>
      </c>
    </row>
    <row r="49" spans="2:23" x14ac:dyDescent="0.25">
      <c r="B49" s="21" t="s">
        <v>276</v>
      </c>
      <c r="C49" s="129">
        <f>SUMIF(Table1[Scope/Sub-Type],'INN Rollups 2020'!A41,Table1[Expenses - Non-Editorial])</f>
        <v>1470464</v>
      </c>
      <c r="D49" s="63">
        <f>C49/C50</f>
        <v>0.66372043708674433</v>
      </c>
      <c r="E49" s="131">
        <f>AVERAGEIFS(Table1[Expenses - Non-Editorial],Table1[Scope/Sub-Type],'INN Rollups 2020'!A41,Table1[Expenses - Non-Editorial],"&gt;0")</f>
        <v>367616</v>
      </c>
      <c r="H49" s="21" t="s">
        <v>276</v>
      </c>
      <c r="I49" s="129">
        <f>SUMIF(Table1[Scope/Sub-Type],'INN Rollups 2020'!G41,Table1[Expenses - Non-Editorial])</f>
        <v>138989</v>
      </c>
      <c r="J49" s="63">
        <f>I49/I50</f>
        <v>0.22873124749033988</v>
      </c>
      <c r="K49" s="131">
        <f>AVERAGEIFS(Table1[Expenses - Non-Editorial],Table1[Scope/Sub-Type],'INN Rollups 2020'!G41,Table1[Expenses - Non-Editorial],"&gt;0")</f>
        <v>46329.666666666664</v>
      </c>
      <c r="N49" s="21" t="s">
        <v>276</v>
      </c>
      <c r="O49" s="129">
        <f>SUMIF(Table1[Scope/Sub-Type],'INN Rollups 2020'!M41,Table1[Expenses - Non-Editorial])</f>
        <v>221928.09</v>
      </c>
      <c r="P49" s="63">
        <f>O49/O50</f>
        <v>0.20636836515067511</v>
      </c>
      <c r="Q49" s="131">
        <f>AVERAGEIFS(Table1[Expenses - Non-Editorial],Table1[Scope/Sub-Type],'INN Rollups 2020'!M41,Table1[Expenses - Non-Editorial],"&gt;0")</f>
        <v>110964.045</v>
      </c>
      <c r="T49" s="21" t="s">
        <v>276</v>
      </c>
      <c r="U49" s="129">
        <f>SUMIF(Table1[Scope/Sub-Type],'INN Rollups 2020'!S41,Table1[Expenses - Non-Editorial])</f>
        <v>9633784</v>
      </c>
      <c r="V49" s="63">
        <f>U49/U50</f>
        <v>0.41359406056339437</v>
      </c>
      <c r="W49" s="131">
        <f>AVERAGEIFS(Table1[Expenses - Non-Editorial],Table1[Scope/Sub-Type],'INN Rollups 2020'!S41,Table1[Expenses - Non-Editorial],"&gt;0")</f>
        <v>1070420.4444444445</v>
      </c>
    </row>
    <row r="50" spans="2:23" x14ac:dyDescent="0.25">
      <c r="B50" t="s">
        <v>277</v>
      </c>
      <c r="C50" s="128">
        <f>SUM(C48:C49)</f>
        <v>2215487</v>
      </c>
      <c r="D50" s="62">
        <f>SUM(D48:D49)</f>
        <v>1</v>
      </c>
      <c r="E50" s="130">
        <f>AVERAGEIFS(Table1[TOTAL EXPENSES],Table1[Scope/Sub-Type],'INN Rollups 2020'!A41,Table1[TOTAL EXPENSES],"&gt;0")</f>
        <v>553871.75</v>
      </c>
      <c r="H50" t="s">
        <v>277</v>
      </c>
      <c r="I50" s="128">
        <f>SUM(I48:I49)</f>
        <v>607652</v>
      </c>
      <c r="J50" s="62">
        <f>SUM(J48:J49)</f>
        <v>1</v>
      </c>
      <c r="K50" s="130">
        <f>AVERAGEIFS(Table1[TOTAL EXPENSES],Table1[Scope/Sub-Type],'INN Rollups 2020'!G41,Table1[TOTAL EXPENSES],"&gt;0")</f>
        <v>202550.66666666666</v>
      </c>
      <c r="N50" t="s">
        <v>277</v>
      </c>
      <c r="O50" s="128">
        <f>SUM(O48:O49)</f>
        <v>1075397.82</v>
      </c>
      <c r="P50" s="62">
        <f>SUM(P48:P49)</f>
        <v>1</v>
      </c>
      <c r="Q50" s="130">
        <f>AVERAGEIFS(Table1[TOTAL EXPENSES],Table1[Scope/Sub-Type],'INN Rollups 2020'!M41,Table1[TOTAL EXPENSES],"&gt;0")</f>
        <v>537698.91</v>
      </c>
      <c r="T50" t="s">
        <v>277</v>
      </c>
      <c r="U50" s="128">
        <f>SUM(U48:U49)</f>
        <v>23292849</v>
      </c>
      <c r="V50" s="62">
        <f>SUM(V48:V49)</f>
        <v>1</v>
      </c>
      <c r="W50" s="130">
        <f>AVERAGEIFS(Table1[TOTAL EXPENSES],Table1[Scope/Sub-Type],'INN Rollups 2020'!S41,Table1[TOTAL EXPENSES],"&gt;0")</f>
        <v>2329284.9</v>
      </c>
    </row>
    <row r="52" spans="2:23" x14ac:dyDescent="0.25">
      <c r="B52" t="s">
        <v>278</v>
      </c>
      <c r="C52">
        <f>SUMIF(Table1[Scope/Sub-Type],'INN Rollups 2020'!A41,Table1[Total FTE - Editorial])</f>
        <v>8.6</v>
      </c>
      <c r="D52" s="59">
        <f>C52/C54</f>
        <v>0.36363636363636365</v>
      </c>
      <c r="E52" s="66">
        <f>AVERAGEIFS(Table1[Total FTE - Editorial],Table1[Scope/Sub-Type],'INN Rollups 2020'!A41,Table1[Total FTE - Editorial],"&gt;0")</f>
        <v>2.8666666666666667</v>
      </c>
      <c r="H52" t="s">
        <v>278</v>
      </c>
      <c r="I52">
        <f>SUMIF(Table1[Scope/Sub-Type],'INN Rollups 2020'!G41,Table1[Total FTE - Editorial])</f>
        <v>12</v>
      </c>
      <c r="J52" s="59">
        <f>I52/I54</f>
        <v>0.8571428571428571</v>
      </c>
      <c r="K52" s="66">
        <f>AVERAGEIFS(Table1[Total FTE - Editorial],Table1[Scope/Sub-Type],'INN Rollups 2020'!G41,Table1[Total FTE - Editorial],"&gt;0")</f>
        <v>4</v>
      </c>
      <c r="N52" t="s">
        <v>278</v>
      </c>
      <c r="O52">
        <f>SUMIF(Table1[Scope/Sub-Type],'INN Rollups 2020'!M41,Table1[Total FTE - Editorial])</f>
        <v>9.5</v>
      </c>
      <c r="P52" s="59">
        <f>O52/O54</f>
        <v>0.86363636363636365</v>
      </c>
      <c r="Q52" s="66">
        <f>AVERAGEIFS(Table1[Total FTE - Editorial],Table1[Scope/Sub-Type],'INN Rollups 2020'!M41,Table1[Total FTE - Editorial],"&gt;0")</f>
        <v>3.1666666666666665</v>
      </c>
      <c r="T52" t="s">
        <v>278</v>
      </c>
      <c r="U52">
        <f>SUMIF(Table1[Scope/Sub-Type],'INN Rollups 2020'!S41,Table1[Total FTE - Editorial])</f>
        <v>156.1</v>
      </c>
      <c r="V52" s="59">
        <f>U52/U54</f>
        <v>0.72884323567176368</v>
      </c>
      <c r="W52" s="66">
        <f>AVERAGEIFS(Table1[Total FTE - Editorial],Table1[Scope/Sub-Type],'INN Rollups 2020'!S41,Table1[Total FTE - Editorial],"&gt;0")</f>
        <v>12.007692307692308</v>
      </c>
    </row>
    <row r="53" spans="2:23" x14ac:dyDescent="0.25">
      <c r="B53" s="21" t="s">
        <v>279</v>
      </c>
      <c r="C53" s="21">
        <f>SUMIF(Table1[Scope/Sub-Type],'INN Rollups 2020'!A41,Table1[Total FTE - Non-Editorial])</f>
        <v>15.05</v>
      </c>
      <c r="D53" s="61">
        <f>C53/C54</f>
        <v>0.63636363636363646</v>
      </c>
      <c r="E53" s="67">
        <f>AVERAGEIFS(Table1[Total FTE - Non-Editorial],Table1[Scope/Sub-Type],'INN Rollups 2020'!A41,Table1[Total FTE - Non-Editorial],"&gt;0")</f>
        <v>7.5250000000000004</v>
      </c>
      <c r="H53" s="21" t="s">
        <v>279</v>
      </c>
      <c r="I53" s="21">
        <f>SUMIF(Table1[Scope/Sub-Type],'INN Rollups 2020'!G41,Table1[Total FTE - Non-Editorial])</f>
        <v>2</v>
      </c>
      <c r="J53" s="61">
        <f>I53/I54</f>
        <v>0.14285714285714285</v>
      </c>
      <c r="K53" s="67">
        <f>AVERAGEIFS(Table1[Total FTE - Non-Editorial],Table1[Scope/Sub-Type],'INN Rollups 2020'!G41,Table1[Total FTE - Non-Editorial],"&gt;0")</f>
        <v>1</v>
      </c>
      <c r="N53" s="21" t="s">
        <v>279</v>
      </c>
      <c r="O53" s="21">
        <f>SUMIF(Table1[Scope/Sub-Type],'INN Rollups 2020'!M41,Table1[Total FTE - Non-Editorial])</f>
        <v>1.5</v>
      </c>
      <c r="P53" s="61">
        <f>O53/O54</f>
        <v>0.13636363636363635</v>
      </c>
      <c r="Q53" s="67">
        <f>AVERAGEIFS(Table1[Total FTE - Non-Editorial],Table1[Scope/Sub-Type],'INN Rollups 2020'!M41,Table1[Total FTE - Non-Editorial],"&gt;0")</f>
        <v>0.75</v>
      </c>
      <c r="T53" s="21" t="s">
        <v>279</v>
      </c>
      <c r="U53" s="21">
        <f>SUMIF(Table1[Scope/Sub-Type],'INN Rollups 2020'!S41,Table1[Total FTE - Non-Editorial])</f>
        <v>58.075000000000003</v>
      </c>
      <c r="V53" s="61">
        <f>U53/U54</f>
        <v>0.27115676432823627</v>
      </c>
      <c r="W53" s="67">
        <f>AVERAGEIFS(Table1[Total FTE - Non-Editorial],Table1[Scope/Sub-Type],'INN Rollups 2020'!S41,Table1[Total FTE - Non-Editorial],"&gt;0")</f>
        <v>4.4673076923076929</v>
      </c>
    </row>
    <row r="54" spans="2:23" x14ac:dyDescent="0.25">
      <c r="B54" t="s">
        <v>280</v>
      </c>
      <c r="C54">
        <f>SUM(C52:C53)</f>
        <v>23.65</v>
      </c>
      <c r="D54" s="60">
        <f>SUM(D52:D53)</f>
        <v>1</v>
      </c>
      <c r="E54" s="66">
        <f>AVERAGEIFS(Table1[Total FTE],Table1[Scope/Sub-Type],'INN Rollups 2020'!A41,Table1[Total FTE],"&gt;0")</f>
        <v>7.8833333333333329</v>
      </c>
      <c r="H54" t="s">
        <v>280</v>
      </c>
      <c r="I54">
        <f>SUM(I52:I53)</f>
        <v>14</v>
      </c>
      <c r="J54" s="60">
        <f>SUM(J52:J53)</f>
        <v>1</v>
      </c>
      <c r="K54" s="66">
        <f>AVERAGEIFS(Table1[Total FTE],Table1[Scope/Sub-Type],'INN Rollups 2020'!G41,Table1[Total FTE],"&gt;0")</f>
        <v>4.666666666666667</v>
      </c>
      <c r="N54" t="s">
        <v>280</v>
      </c>
      <c r="O54">
        <f>SUM(O52:O53)</f>
        <v>11</v>
      </c>
      <c r="P54" s="60">
        <f>SUM(P52:P53)</f>
        <v>1</v>
      </c>
      <c r="Q54" s="66">
        <f>AVERAGEIFS(Table1[Total FTE],Table1[Scope/Sub-Type],'INN Rollups 2020'!M41,Table1[Total FTE],"&gt;0")</f>
        <v>3.6666666666666665</v>
      </c>
      <c r="T54" t="s">
        <v>280</v>
      </c>
      <c r="U54">
        <f>SUM(U52:U53)</f>
        <v>214.17500000000001</v>
      </c>
      <c r="V54" s="60">
        <f>SUM(V52:V53)</f>
        <v>1</v>
      </c>
      <c r="W54" s="66">
        <f>AVERAGEIFS(Table1[Total FTE],Table1[Scope/Sub-Type],'INN Rollups 2020'!S41,Table1[Total FTE],"&gt;0")</f>
        <v>16.474999999999998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5E0FB-CE93-4E97-ACF9-CBA57548B79E}">
  <sheetPr>
    <tabColor theme="5" tint="0.39997558519241921"/>
  </sheetPr>
  <dimension ref="A1:BB235"/>
  <sheetViews>
    <sheetView topLeftCell="C1" zoomScale="90" zoomScaleNormal="90" workbookViewId="0">
      <pane ySplit="1" topLeftCell="A2" activePane="bottomLeft" state="frozen"/>
      <selection activeCell="U1" sqref="U1"/>
      <selection pane="bottomLeft" activeCell="BE41" sqref="BE41"/>
    </sheetView>
  </sheetViews>
  <sheetFormatPr defaultColWidth="12.42578125" defaultRowHeight="15.75" outlineLevelCol="1" x14ac:dyDescent="0.25"/>
  <cols>
    <col min="1" max="1" width="11.28515625" style="54" hidden="1" customWidth="1" outlineLevel="1"/>
    <col min="2" max="2" width="15.140625" style="54" hidden="1" customWidth="1" outlineLevel="1"/>
    <col min="3" max="3" width="33.85546875" style="54" bestFit="1" customWidth="1" collapsed="1"/>
    <col min="4" max="4" width="21.140625" style="54" bestFit="1" customWidth="1"/>
    <col min="5" max="5" width="23.42578125" style="54" bestFit="1" customWidth="1"/>
    <col min="6" max="6" width="33" style="54" bestFit="1" customWidth="1"/>
    <col min="7" max="7" width="53.28515625" style="54" bestFit="1" customWidth="1"/>
    <col min="8" max="52" width="33" style="54" customWidth="1"/>
    <col min="53" max="53" width="46.140625" style="54" customWidth="1"/>
    <col min="54" max="54" width="26" style="54" customWidth="1" outlineLevel="1"/>
    <col min="55" max="16384" width="12.42578125" style="54"/>
  </cols>
  <sheetData>
    <row r="1" spans="1:54" s="52" customFormat="1" ht="47.25" x14ac:dyDescent="0.25">
      <c r="A1" s="52" t="s">
        <v>299</v>
      </c>
      <c r="B1" s="52" t="s">
        <v>300</v>
      </c>
      <c r="C1" s="52" t="s">
        <v>301</v>
      </c>
      <c r="D1" s="52" t="s">
        <v>302</v>
      </c>
      <c r="E1" s="52" t="s">
        <v>303</v>
      </c>
      <c r="F1" s="52" t="s">
        <v>226</v>
      </c>
      <c r="G1" s="52" t="s">
        <v>304</v>
      </c>
      <c r="H1" s="52" t="s">
        <v>305</v>
      </c>
      <c r="I1" s="52" t="s">
        <v>897</v>
      </c>
      <c r="J1" s="52" t="s">
        <v>898</v>
      </c>
      <c r="K1" s="52" t="s">
        <v>899</v>
      </c>
      <c r="L1" s="52" t="s">
        <v>900</v>
      </c>
      <c r="M1" s="53" t="s">
        <v>901</v>
      </c>
      <c r="N1" s="53" t="s">
        <v>902</v>
      </c>
      <c r="O1" s="53" t="s">
        <v>903</v>
      </c>
      <c r="P1" s="53" t="s">
        <v>904</v>
      </c>
      <c r="Q1" s="53" t="s">
        <v>905</v>
      </c>
      <c r="R1" s="53" t="s">
        <v>906</v>
      </c>
      <c r="S1" s="53" t="s">
        <v>907</v>
      </c>
      <c r="T1" s="53" t="s">
        <v>908</v>
      </c>
      <c r="U1" s="53" t="s">
        <v>909</v>
      </c>
      <c r="V1" s="53" t="s">
        <v>910</v>
      </c>
      <c r="W1" s="53" t="s">
        <v>911</v>
      </c>
      <c r="X1" s="53" t="s">
        <v>912</v>
      </c>
      <c r="Y1" s="53" t="s">
        <v>913</v>
      </c>
      <c r="Z1" s="53" t="s">
        <v>914</v>
      </c>
      <c r="AA1" s="53" t="s">
        <v>915</v>
      </c>
      <c r="AB1" s="53" t="s">
        <v>916</v>
      </c>
      <c r="AC1" s="53" t="s">
        <v>917</v>
      </c>
      <c r="AD1" s="53" t="s">
        <v>918</v>
      </c>
      <c r="AE1" s="53" t="s">
        <v>919</v>
      </c>
      <c r="AF1" s="53" t="s">
        <v>920</v>
      </c>
      <c r="AG1" s="53" t="s">
        <v>921</v>
      </c>
      <c r="AH1" s="53" t="s">
        <v>922</v>
      </c>
      <c r="AI1" s="53" t="s">
        <v>923</v>
      </c>
      <c r="AJ1" s="53" t="s">
        <v>924</v>
      </c>
      <c r="AK1" s="53" t="s">
        <v>925</v>
      </c>
      <c r="AL1" s="53" t="s">
        <v>926</v>
      </c>
      <c r="AM1" s="53" t="s">
        <v>927</v>
      </c>
      <c r="AN1" s="53" t="s">
        <v>928</v>
      </c>
      <c r="AO1" s="53" t="s">
        <v>929</v>
      </c>
      <c r="AP1" s="53" t="s">
        <v>930</v>
      </c>
      <c r="AQ1" s="53" t="s">
        <v>931</v>
      </c>
      <c r="AR1" s="53" t="s">
        <v>932</v>
      </c>
      <c r="AS1" s="53" t="s">
        <v>933</v>
      </c>
      <c r="AT1" s="53" t="s">
        <v>934</v>
      </c>
      <c r="AU1" s="53" t="s">
        <v>935</v>
      </c>
      <c r="AV1" s="53" t="s">
        <v>936</v>
      </c>
      <c r="AW1" s="53" t="s">
        <v>937</v>
      </c>
      <c r="AX1" s="53" t="s">
        <v>938</v>
      </c>
      <c r="AY1" s="53" t="s">
        <v>939</v>
      </c>
      <c r="AZ1" s="53" t="s">
        <v>940</v>
      </c>
      <c r="BA1" s="52" t="s">
        <v>333</v>
      </c>
      <c r="BB1" s="52" t="s">
        <v>334</v>
      </c>
    </row>
    <row r="2" spans="1:54" x14ac:dyDescent="0.25">
      <c r="A2" s="54">
        <v>334</v>
      </c>
      <c r="B2" s="54">
        <v>2012</v>
      </c>
      <c r="C2" s="88" t="s">
        <v>82</v>
      </c>
      <c r="D2" s="54" t="s">
        <v>7</v>
      </c>
      <c r="E2" s="54" t="s">
        <v>77</v>
      </c>
      <c r="F2" s="54" t="str">
        <f>_xlfn.CONCAT(Table13[[#This Row],[Geographic Scope]],": ",Table13[[#This Row],[Sub-Type/Focus]])</f>
        <v>Local: General</v>
      </c>
      <c r="G2" s="54" t="str">
        <f>_xlfn.CONCAT(Table13[[#This Row],[Geographic Scope]],": ",Table13[[#This Row],[Sub-Type/Focus]],": ",Table13[[#This Row],[Content Type]])</f>
        <v>Local: General: Current News &amp; Events</v>
      </c>
      <c r="H2" s="54" t="str">
        <f>_xlfn.CONCAT(Table13[[#This Row],[Geographic Scope]],": ",Table13[[#This Row],[Content Type]])</f>
        <v>Local: Current News &amp; Events</v>
      </c>
      <c r="I2" s="55">
        <v>658895.93387096771</v>
      </c>
      <c r="J2" s="55">
        <v>518251.71833333338</v>
      </c>
      <c r="K2" s="55">
        <v>180674.90370370372</v>
      </c>
      <c r="L2" s="54">
        <v>337993.31107142859</v>
      </c>
      <c r="M2" s="54">
        <v>153185.92272727273</v>
      </c>
      <c r="N2" s="54">
        <v>143209.36862068967</v>
      </c>
      <c r="O2" s="54">
        <v>41755.167419354846</v>
      </c>
      <c r="P2" s="54">
        <v>23355.629032258064</v>
      </c>
      <c r="Q2" s="54">
        <v>68859.258064516136</v>
      </c>
      <c r="R2" s="54">
        <v>30702.75</v>
      </c>
      <c r="S2" s="54">
        <v>115711.83333333333</v>
      </c>
      <c r="T2" s="54">
        <v>69915.425000000003</v>
      </c>
      <c r="U2" s="54">
        <v>51669.45888888889</v>
      </c>
      <c r="V2" s="54">
        <v>177523</v>
      </c>
      <c r="W2" s="54">
        <v>13372.74</v>
      </c>
      <c r="X2" s="54">
        <v>32873.362500000003</v>
      </c>
      <c r="Y2" s="54">
        <v>513133.53656249994</v>
      </c>
      <c r="Z2" s="54">
        <v>377310.99531250005</v>
      </c>
      <c r="AA2" s="54">
        <v>890444.5318750001</v>
      </c>
      <c r="AB2" s="54">
        <v>8.4716216216216207</v>
      </c>
      <c r="AC2" s="54">
        <v>6.0189189189189189</v>
      </c>
      <c r="AD2" s="54">
        <v>3.2410714285714284</v>
      </c>
      <c r="AE2" s="54">
        <v>506626.39920000004</v>
      </c>
      <c r="AF2" s="54">
        <v>357700.67571428569</v>
      </c>
      <c r="AG2" s="54">
        <v>185809.21071428573</v>
      </c>
      <c r="AH2" s="54">
        <v>218884.81978260871</v>
      </c>
      <c r="AI2" s="54">
        <v>102236.50937499999</v>
      </c>
      <c r="AJ2" s="54">
        <v>107951.91428571429</v>
      </c>
      <c r="AK2" s="54">
        <v>38492.880000000005</v>
      </c>
      <c r="AL2" s="54">
        <v>18903.348000000002</v>
      </c>
      <c r="AM2" s="54">
        <v>48396.648000000001</v>
      </c>
      <c r="AN2" s="54">
        <v>41015.649999999994</v>
      </c>
      <c r="AO2" s="54">
        <v>173323.45733333335</v>
      </c>
      <c r="AP2" s="54">
        <v>47006.517857142855</v>
      </c>
      <c r="AQ2" s="54">
        <v>38085.548461538463</v>
      </c>
      <c r="AR2" s="54">
        <v>121145.11111111111</v>
      </c>
      <c r="AS2" s="54">
        <v>220.74</v>
      </c>
      <c r="AT2" s="54">
        <v>22520.766875000001</v>
      </c>
      <c r="AU2" s="54">
        <v>387710.28823529411</v>
      </c>
      <c r="AV2" s="54">
        <v>251234.2737254902</v>
      </c>
      <c r="AW2" s="54">
        <v>638944.56196078437</v>
      </c>
      <c r="AX2" s="54">
        <v>7.6517857142857144</v>
      </c>
      <c r="AY2" s="54">
        <v>5.35</v>
      </c>
      <c r="AZ2" s="54">
        <v>2.9184782608695654</v>
      </c>
      <c r="BA2" s="54" t="s">
        <v>339</v>
      </c>
      <c r="BB2" s="54" t="s">
        <v>340</v>
      </c>
    </row>
    <row r="3" spans="1:54" x14ac:dyDescent="0.25">
      <c r="A3" s="54">
        <v>336</v>
      </c>
      <c r="B3" s="54">
        <v>2018</v>
      </c>
      <c r="C3" s="88" t="s">
        <v>82</v>
      </c>
      <c r="D3" s="54" t="s">
        <v>7</v>
      </c>
      <c r="E3" s="54" t="s">
        <v>77</v>
      </c>
      <c r="F3" s="54" t="str">
        <f>_xlfn.CONCAT(Table13[[#This Row],[Geographic Scope]],": ",Table13[[#This Row],[Sub-Type/Focus]])</f>
        <v>Local: General</v>
      </c>
      <c r="G3" s="54" t="str">
        <f>_xlfn.CONCAT(Table13[[#This Row],[Geographic Scope]],": ",Table13[[#This Row],[Sub-Type/Focus]],": ",Table13[[#This Row],[Content Type]])</f>
        <v>Local: General: Current News &amp; Events</v>
      </c>
      <c r="H3" s="54" t="str">
        <f>_xlfn.CONCAT(Table13[[#This Row],[Geographic Scope]],": ",Table13[[#This Row],[Content Type]])</f>
        <v>Local: Current News &amp; Events</v>
      </c>
      <c r="I3" s="55">
        <v>658895.93387096771</v>
      </c>
      <c r="J3" s="55">
        <v>518251.71833333338</v>
      </c>
      <c r="K3" s="55">
        <v>180674.90370370372</v>
      </c>
      <c r="L3" s="54">
        <v>337993.31107142859</v>
      </c>
      <c r="M3" s="54">
        <v>153185.92272727273</v>
      </c>
      <c r="N3" s="54">
        <v>143209.36862068967</v>
      </c>
      <c r="O3" s="54">
        <v>41755.167419354846</v>
      </c>
      <c r="P3" s="54">
        <v>23355.629032258064</v>
      </c>
      <c r="Q3" s="54">
        <v>68859.258064516136</v>
      </c>
      <c r="R3" s="54">
        <v>30702.75</v>
      </c>
      <c r="S3" s="54">
        <v>115711.83333333333</v>
      </c>
      <c r="T3" s="54">
        <v>69915.425000000003</v>
      </c>
      <c r="U3" s="54">
        <v>51669.45888888889</v>
      </c>
      <c r="V3" s="54">
        <v>177523</v>
      </c>
      <c r="W3" s="54">
        <v>13372.74</v>
      </c>
      <c r="X3" s="54">
        <v>32873.362500000003</v>
      </c>
      <c r="Y3" s="54">
        <v>513133.53656249994</v>
      </c>
      <c r="Z3" s="54">
        <v>377310.99531250005</v>
      </c>
      <c r="AA3" s="54">
        <v>890444.5318750001</v>
      </c>
      <c r="AB3" s="54">
        <v>8.4716216216216207</v>
      </c>
      <c r="AC3" s="54">
        <v>6.0189189189189189</v>
      </c>
      <c r="AD3" s="54">
        <v>3.2410714285714284</v>
      </c>
      <c r="AE3" s="54">
        <v>506626.39920000004</v>
      </c>
      <c r="AF3" s="54">
        <v>357700.67571428569</v>
      </c>
      <c r="AG3" s="54">
        <v>185809.21071428573</v>
      </c>
      <c r="AH3" s="54">
        <v>218884.81978260871</v>
      </c>
      <c r="AI3" s="54">
        <v>102236.50937499999</v>
      </c>
      <c r="AJ3" s="54">
        <v>107951.91428571429</v>
      </c>
      <c r="AK3" s="54">
        <v>38492.880000000005</v>
      </c>
      <c r="AL3" s="54">
        <v>18903.348000000002</v>
      </c>
      <c r="AM3" s="54">
        <v>48396.648000000001</v>
      </c>
      <c r="AN3" s="54">
        <v>41015.649999999994</v>
      </c>
      <c r="AO3" s="54">
        <v>173323.45733333335</v>
      </c>
      <c r="AP3" s="54">
        <v>47006.517857142855</v>
      </c>
      <c r="AQ3" s="54">
        <v>38085.548461538463</v>
      </c>
      <c r="AR3" s="54">
        <v>121145.11111111111</v>
      </c>
      <c r="AS3" s="54">
        <v>220.74</v>
      </c>
      <c r="AT3" s="54">
        <v>22520.766875000001</v>
      </c>
      <c r="AU3" s="54">
        <v>387710.28823529411</v>
      </c>
      <c r="AV3" s="54">
        <v>251234.2737254902</v>
      </c>
      <c r="AW3" s="54">
        <v>638944.56196078437</v>
      </c>
      <c r="AX3" s="54">
        <v>7.6517857142857144</v>
      </c>
      <c r="AY3" s="54">
        <v>5.35</v>
      </c>
      <c r="AZ3" s="54">
        <v>2.9184782608695654</v>
      </c>
      <c r="BA3" s="54" t="s">
        <v>342</v>
      </c>
    </row>
    <row r="4" spans="1:54" x14ac:dyDescent="0.25">
      <c r="A4" s="54">
        <v>338</v>
      </c>
      <c r="B4" s="54">
        <v>2011</v>
      </c>
      <c r="C4" s="88" t="s">
        <v>82</v>
      </c>
      <c r="D4" s="54" t="s">
        <v>7</v>
      </c>
      <c r="E4" s="54" t="s">
        <v>77</v>
      </c>
      <c r="F4" s="54" t="str">
        <f>_xlfn.CONCAT(Table13[[#This Row],[Geographic Scope]],": ",Table13[[#This Row],[Sub-Type/Focus]])</f>
        <v>Local: General</v>
      </c>
      <c r="G4" s="54" t="str">
        <f>_xlfn.CONCAT(Table13[[#This Row],[Geographic Scope]],": ",Table13[[#This Row],[Sub-Type/Focus]],": ",Table13[[#This Row],[Content Type]])</f>
        <v>Local: General: Current News &amp; Events</v>
      </c>
      <c r="H4" s="54" t="str">
        <f>_xlfn.CONCAT(Table13[[#This Row],[Geographic Scope]],": ",Table13[[#This Row],[Content Type]])</f>
        <v>Local: Current News &amp; Events</v>
      </c>
      <c r="I4" s="55">
        <v>658895.93387096771</v>
      </c>
      <c r="J4" s="55">
        <v>518251.71833333338</v>
      </c>
      <c r="K4" s="55">
        <v>180674.90370370372</v>
      </c>
      <c r="L4" s="54">
        <v>337993.31107142859</v>
      </c>
      <c r="M4" s="54">
        <v>153185.92272727273</v>
      </c>
      <c r="N4" s="54">
        <v>143209.36862068967</v>
      </c>
      <c r="O4" s="54">
        <v>41755.167419354846</v>
      </c>
      <c r="P4" s="54">
        <v>23355.629032258064</v>
      </c>
      <c r="Q4" s="54">
        <v>68859.258064516136</v>
      </c>
      <c r="R4" s="54">
        <v>30702.75</v>
      </c>
      <c r="S4" s="54">
        <v>115711.83333333333</v>
      </c>
      <c r="T4" s="54">
        <v>69915.425000000003</v>
      </c>
      <c r="U4" s="54">
        <v>51669.45888888889</v>
      </c>
      <c r="V4" s="54">
        <v>177523</v>
      </c>
      <c r="W4" s="54">
        <v>13372.74</v>
      </c>
      <c r="X4" s="54">
        <v>32873.362500000003</v>
      </c>
      <c r="Y4" s="54">
        <v>513133.53656249994</v>
      </c>
      <c r="Z4" s="54">
        <v>377310.99531250005</v>
      </c>
      <c r="AA4" s="54">
        <v>890444.5318750001</v>
      </c>
      <c r="AB4" s="54">
        <v>8.4716216216216207</v>
      </c>
      <c r="AC4" s="54">
        <v>6.0189189189189189</v>
      </c>
      <c r="AD4" s="54">
        <v>3.2410714285714284</v>
      </c>
      <c r="AE4" s="54">
        <v>506626.39920000004</v>
      </c>
      <c r="AF4" s="54">
        <v>357700.67571428569</v>
      </c>
      <c r="AG4" s="54">
        <v>185809.21071428573</v>
      </c>
      <c r="AH4" s="54">
        <v>218884.81978260871</v>
      </c>
      <c r="AI4" s="54">
        <v>102236.50937499999</v>
      </c>
      <c r="AJ4" s="54">
        <v>107951.91428571429</v>
      </c>
      <c r="AK4" s="54">
        <v>38492.880000000005</v>
      </c>
      <c r="AL4" s="54">
        <v>18903.348000000002</v>
      </c>
      <c r="AM4" s="54">
        <v>48396.648000000001</v>
      </c>
      <c r="AN4" s="54">
        <v>41015.649999999994</v>
      </c>
      <c r="AO4" s="54">
        <v>173323.45733333335</v>
      </c>
      <c r="AP4" s="54">
        <v>47006.517857142855</v>
      </c>
      <c r="AQ4" s="54">
        <v>38085.548461538463</v>
      </c>
      <c r="AR4" s="54">
        <v>121145.11111111111</v>
      </c>
      <c r="AS4" s="54">
        <v>220.74</v>
      </c>
      <c r="AT4" s="54">
        <v>22520.766875000001</v>
      </c>
      <c r="AU4" s="54">
        <v>387710.28823529411</v>
      </c>
      <c r="AV4" s="54">
        <v>251234.2737254902</v>
      </c>
      <c r="AW4" s="54">
        <v>638944.56196078437</v>
      </c>
      <c r="AX4" s="54">
        <v>7.6517857142857144</v>
      </c>
      <c r="AY4" s="54">
        <v>5.35</v>
      </c>
      <c r="AZ4" s="54">
        <v>2.9184782608695654</v>
      </c>
      <c r="BA4" s="54" t="s">
        <v>343</v>
      </c>
      <c r="BB4" s="54" t="s">
        <v>344</v>
      </c>
    </row>
    <row r="5" spans="1:54" x14ac:dyDescent="0.25">
      <c r="A5" s="54">
        <v>339</v>
      </c>
      <c r="B5" s="54">
        <v>2017</v>
      </c>
      <c r="C5" s="88" t="s">
        <v>82</v>
      </c>
      <c r="D5" s="54" t="s">
        <v>7</v>
      </c>
      <c r="E5" s="54" t="s">
        <v>77</v>
      </c>
      <c r="F5" s="54" t="str">
        <f>_xlfn.CONCAT(Table13[[#This Row],[Geographic Scope]],": ",Table13[[#This Row],[Sub-Type/Focus]])</f>
        <v>Local: General</v>
      </c>
      <c r="G5" s="54" t="str">
        <f>_xlfn.CONCAT(Table13[[#This Row],[Geographic Scope]],": ",Table13[[#This Row],[Sub-Type/Focus]],": ",Table13[[#This Row],[Content Type]])</f>
        <v>Local: General: Current News &amp; Events</v>
      </c>
      <c r="H5" s="54" t="str">
        <f>_xlfn.CONCAT(Table13[[#This Row],[Geographic Scope]],": ",Table13[[#This Row],[Content Type]])</f>
        <v>Local: Current News &amp; Events</v>
      </c>
      <c r="I5" s="55">
        <v>658895.93387096771</v>
      </c>
      <c r="J5" s="55">
        <v>518251.71833333338</v>
      </c>
      <c r="K5" s="55">
        <v>180674.90370370372</v>
      </c>
      <c r="L5" s="54">
        <v>337993.31107142859</v>
      </c>
      <c r="M5" s="54">
        <v>153185.92272727273</v>
      </c>
      <c r="N5" s="54">
        <v>143209.36862068967</v>
      </c>
      <c r="O5" s="54">
        <v>41755.167419354846</v>
      </c>
      <c r="P5" s="54">
        <v>23355.629032258064</v>
      </c>
      <c r="Q5" s="54">
        <v>68859.258064516136</v>
      </c>
      <c r="R5" s="54">
        <v>30702.75</v>
      </c>
      <c r="S5" s="54">
        <v>115711.83333333333</v>
      </c>
      <c r="T5" s="54">
        <v>69915.425000000003</v>
      </c>
      <c r="U5" s="54">
        <v>51669.45888888889</v>
      </c>
      <c r="V5" s="54">
        <v>177523</v>
      </c>
      <c r="W5" s="54">
        <v>13372.74</v>
      </c>
      <c r="X5" s="54">
        <v>32873.362500000003</v>
      </c>
      <c r="Y5" s="54">
        <v>513133.53656249994</v>
      </c>
      <c r="Z5" s="54">
        <v>377310.99531250005</v>
      </c>
      <c r="AA5" s="54">
        <v>890444.5318750001</v>
      </c>
      <c r="AB5" s="54">
        <v>8.4716216216216207</v>
      </c>
      <c r="AC5" s="54">
        <v>6.0189189189189189</v>
      </c>
      <c r="AD5" s="54">
        <v>3.2410714285714284</v>
      </c>
      <c r="AE5" s="54">
        <v>506626.39920000004</v>
      </c>
      <c r="AF5" s="54">
        <v>357700.67571428569</v>
      </c>
      <c r="AG5" s="54">
        <v>185809.21071428573</v>
      </c>
      <c r="AH5" s="54">
        <v>218884.81978260871</v>
      </c>
      <c r="AI5" s="54">
        <v>102236.50937499999</v>
      </c>
      <c r="AJ5" s="54">
        <v>107951.91428571429</v>
      </c>
      <c r="AK5" s="54">
        <v>38492.880000000005</v>
      </c>
      <c r="AL5" s="54">
        <v>18903.348000000002</v>
      </c>
      <c r="AM5" s="54">
        <v>48396.648000000001</v>
      </c>
      <c r="AN5" s="54">
        <v>41015.649999999994</v>
      </c>
      <c r="AO5" s="54">
        <v>173323.45733333335</v>
      </c>
      <c r="AP5" s="54">
        <v>47006.517857142855</v>
      </c>
      <c r="AQ5" s="54">
        <v>38085.548461538463</v>
      </c>
      <c r="AR5" s="54">
        <v>121145.11111111111</v>
      </c>
      <c r="AS5" s="54">
        <v>220.74</v>
      </c>
      <c r="AT5" s="54">
        <v>22520.766875000001</v>
      </c>
      <c r="AU5" s="54">
        <v>387710.28823529411</v>
      </c>
      <c r="AV5" s="54">
        <v>251234.2737254902</v>
      </c>
      <c r="AW5" s="54">
        <v>638944.56196078437</v>
      </c>
      <c r="AX5" s="54">
        <v>7.6517857142857144</v>
      </c>
      <c r="AY5" s="54">
        <v>5.35</v>
      </c>
      <c r="AZ5" s="54">
        <v>2.9184782608695654</v>
      </c>
      <c r="BA5" s="54" t="s">
        <v>342</v>
      </c>
      <c r="BB5" s="54" t="s">
        <v>346</v>
      </c>
    </row>
    <row r="6" spans="1:54" x14ac:dyDescent="0.25">
      <c r="A6" s="54">
        <v>362</v>
      </c>
      <c r="B6" s="54">
        <v>2014</v>
      </c>
      <c r="C6" s="88" t="s">
        <v>82</v>
      </c>
      <c r="D6" s="54" t="s">
        <v>7</v>
      </c>
      <c r="E6" s="54" t="s">
        <v>77</v>
      </c>
      <c r="F6" s="54" t="str">
        <f>_xlfn.CONCAT(Table13[[#This Row],[Geographic Scope]],": ",Table13[[#This Row],[Sub-Type/Focus]])</f>
        <v>Local: General</v>
      </c>
      <c r="G6" s="54" t="str">
        <f>_xlfn.CONCAT(Table13[[#This Row],[Geographic Scope]],": ",Table13[[#This Row],[Sub-Type/Focus]],": ",Table13[[#This Row],[Content Type]])</f>
        <v>Local: General: Current News &amp; Events</v>
      </c>
      <c r="H6" s="54" t="str">
        <f>_xlfn.CONCAT(Table13[[#This Row],[Geographic Scope]],": ",Table13[[#This Row],[Content Type]])</f>
        <v>Local: Current News &amp; Events</v>
      </c>
      <c r="I6" s="55">
        <v>658895.93387096771</v>
      </c>
      <c r="J6" s="55">
        <v>518251.71833333338</v>
      </c>
      <c r="K6" s="55">
        <v>180674.90370370372</v>
      </c>
      <c r="L6" s="54">
        <v>337993.31107142859</v>
      </c>
      <c r="M6" s="54">
        <v>153185.92272727273</v>
      </c>
      <c r="N6" s="54">
        <v>143209.36862068967</v>
      </c>
      <c r="O6" s="54">
        <v>41755.167419354846</v>
      </c>
      <c r="P6" s="54">
        <v>23355.629032258064</v>
      </c>
      <c r="Q6" s="54">
        <v>68859.258064516136</v>
      </c>
      <c r="R6" s="54">
        <v>30702.75</v>
      </c>
      <c r="S6" s="54">
        <v>115711.83333333333</v>
      </c>
      <c r="T6" s="54">
        <v>69915.425000000003</v>
      </c>
      <c r="U6" s="54">
        <v>51669.45888888889</v>
      </c>
      <c r="V6" s="54">
        <v>177523</v>
      </c>
      <c r="W6" s="54">
        <v>13372.74</v>
      </c>
      <c r="X6" s="54">
        <v>32873.362500000003</v>
      </c>
      <c r="Y6" s="54">
        <v>513133.53656249994</v>
      </c>
      <c r="Z6" s="54">
        <v>377310.99531250005</v>
      </c>
      <c r="AA6" s="54">
        <v>890444.5318750001</v>
      </c>
      <c r="AB6" s="54">
        <v>8.4716216216216207</v>
      </c>
      <c r="AC6" s="54">
        <v>6.0189189189189189</v>
      </c>
      <c r="AD6" s="54">
        <v>3.2410714285714284</v>
      </c>
      <c r="AE6" s="54">
        <v>506626.39920000004</v>
      </c>
      <c r="AF6" s="54">
        <v>357700.67571428569</v>
      </c>
      <c r="AG6" s="54">
        <v>185809.21071428573</v>
      </c>
      <c r="AH6" s="54">
        <v>218884.81978260871</v>
      </c>
      <c r="AI6" s="54">
        <v>102236.50937499999</v>
      </c>
      <c r="AJ6" s="54">
        <v>107951.91428571429</v>
      </c>
      <c r="AK6" s="54">
        <v>38492.880000000005</v>
      </c>
      <c r="AL6" s="54">
        <v>18903.348000000002</v>
      </c>
      <c r="AM6" s="54">
        <v>48396.648000000001</v>
      </c>
      <c r="AN6" s="54">
        <v>41015.649999999994</v>
      </c>
      <c r="AO6" s="54">
        <v>173323.45733333335</v>
      </c>
      <c r="AP6" s="54">
        <v>47006.517857142855</v>
      </c>
      <c r="AQ6" s="54">
        <v>38085.548461538463</v>
      </c>
      <c r="AR6" s="54">
        <v>121145.11111111111</v>
      </c>
      <c r="AS6" s="54">
        <v>220.74</v>
      </c>
      <c r="AT6" s="54">
        <v>22520.766875000001</v>
      </c>
      <c r="AU6" s="54">
        <v>387710.28823529411</v>
      </c>
      <c r="AV6" s="54">
        <v>251234.2737254902</v>
      </c>
      <c r="AW6" s="54">
        <v>638944.56196078437</v>
      </c>
      <c r="AX6" s="54">
        <v>7.6517857142857144</v>
      </c>
      <c r="AY6" s="54">
        <v>5.35</v>
      </c>
      <c r="AZ6" s="54">
        <v>2.9184782608695654</v>
      </c>
      <c r="BA6" s="54" t="s">
        <v>342</v>
      </c>
      <c r="BB6" s="54" t="s">
        <v>347</v>
      </c>
    </row>
    <row r="7" spans="1:54" x14ac:dyDescent="0.25">
      <c r="A7" s="54">
        <v>370</v>
      </c>
      <c r="B7" s="54">
        <v>2017</v>
      </c>
      <c r="C7" s="88" t="s">
        <v>82</v>
      </c>
      <c r="D7" s="54" t="s">
        <v>7</v>
      </c>
      <c r="E7" s="54" t="s">
        <v>77</v>
      </c>
      <c r="F7" s="54" t="str">
        <f>_xlfn.CONCAT(Table13[[#This Row],[Geographic Scope]],": ",Table13[[#This Row],[Sub-Type/Focus]])</f>
        <v>Local: General</v>
      </c>
      <c r="G7" s="54" t="str">
        <f>_xlfn.CONCAT(Table13[[#This Row],[Geographic Scope]],": ",Table13[[#This Row],[Sub-Type/Focus]],": ",Table13[[#This Row],[Content Type]])</f>
        <v>Local: General: Current News &amp; Events</v>
      </c>
      <c r="H7" s="54" t="str">
        <f>_xlfn.CONCAT(Table13[[#This Row],[Geographic Scope]],": ",Table13[[#This Row],[Content Type]])</f>
        <v>Local: Current News &amp; Events</v>
      </c>
      <c r="I7" s="55">
        <v>658895.93387096771</v>
      </c>
      <c r="J7" s="55">
        <v>518251.71833333338</v>
      </c>
      <c r="K7" s="55">
        <v>180674.90370370372</v>
      </c>
      <c r="L7" s="54">
        <v>337993.31107142859</v>
      </c>
      <c r="M7" s="54">
        <v>153185.92272727273</v>
      </c>
      <c r="N7" s="54">
        <v>143209.36862068967</v>
      </c>
      <c r="O7" s="54">
        <v>41755.167419354846</v>
      </c>
      <c r="P7" s="54">
        <v>23355.629032258064</v>
      </c>
      <c r="Q7" s="54">
        <v>68859.258064516136</v>
      </c>
      <c r="R7" s="54">
        <v>30702.75</v>
      </c>
      <c r="S7" s="54">
        <v>115711.83333333333</v>
      </c>
      <c r="T7" s="54">
        <v>69915.425000000003</v>
      </c>
      <c r="U7" s="54">
        <v>51669.45888888889</v>
      </c>
      <c r="V7" s="54">
        <v>177523</v>
      </c>
      <c r="W7" s="54">
        <v>13372.74</v>
      </c>
      <c r="X7" s="54">
        <v>32873.362500000003</v>
      </c>
      <c r="Y7" s="54">
        <v>513133.53656249994</v>
      </c>
      <c r="Z7" s="54">
        <v>377310.99531250005</v>
      </c>
      <c r="AA7" s="54">
        <v>890444.5318750001</v>
      </c>
      <c r="AB7" s="54">
        <v>8.4716216216216207</v>
      </c>
      <c r="AC7" s="54">
        <v>6.0189189189189189</v>
      </c>
      <c r="AD7" s="54">
        <v>3.2410714285714284</v>
      </c>
      <c r="AE7" s="54">
        <v>506626.39920000004</v>
      </c>
      <c r="AF7" s="54">
        <v>357700.67571428569</v>
      </c>
      <c r="AG7" s="54">
        <v>185809.21071428573</v>
      </c>
      <c r="AH7" s="54">
        <v>218884.81978260871</v>
      </c>
      <c r="AI7" s="54">
        <v>102236.50937499999</v>
      </c>
      <c r="AJ7" s="54">
        <v>107951.91428571429</v>
      </c>
      <c r="AK7" s="54">
        <v>38492.880000000005</v>
      </c>
      <c r="AL7" s="54">
        <v>18903.348000000002</v>
      </c>
      <c r="AM7" s="54">
        <v>48396.648000000001</v>
      </c>
      <c r="AN7" s="54">
        <v>41015.649999999994</v>
      </c>
      <c r="AO7" s="54">
        <v>173323.45733333335</v>
      </c>
      <c r="AP7" s="54">
        <v>47006.517857142855</v>
      </c>
      <c r="AQ7" s="54">
        <v>38085.548461538463</v>
      </c>
      <c r="AR7" s="54">
        <v>121145.11111111111</v>
      </c>
      <c r="AS7" s="54">
        <v>220.74</v>
      </c>
      <c r="AT7" s="54">
        <v>22520.766875000001</v>
      </c>
      <c r="AU7" s="54">
        <v>387710.28823529411</v>
      </c>
      <c r="AV7" s="54">
        <v>251234.2737254902</v>
      </c>
      <c r="AW7" s="54">
        <v>638944.56196078437</v>
      </c>
      <c r="AX7" s="54">
        <v>7.6517857142857144</v>
      </c>
      <c r="AY7" s="54">
        <v>5.35</v>
      </c>
      <c r="AZ7" s="54">
        <v>2.9184782608695654</v>
      </c>
      <c r="BA7" s="54" t="s">
        <v>342</v>
      </c>
    </row>
    <row r="8" spans="1:54" x14ac:dyDescent="0.25">
      <c r="A8" s="54">
        <v>382</v>
      </c>
      <c r="B8" s="54">
        <v>2010</v>
      </c>
      <c r="C8" s="88" t="s">
        <v>82</v>
      </c>
      <c r="D8" s="54" t="s">
        <v>7</v>
      </c>
      <c r="E8" s="54" t="s">
        <v>77</v>
      </c>
      <c r="F8" s="54" t="str">
        <f>_xlfn.CONCAT(Table13[[#This Row],[Geographic Scope]],": ",Table13[[#This Row],[Sub-Type/Focus]])</f>
        <v>Local: General</v>
      </c>
      <c r="G8" s="54" t="str">
        <f>_xlfn.CONCAT(Table13[[#This Row],[Geographic Scope]],": ",Table13[[#This Row],[Sub-Type/Focus]],": ",Table13[[#This Row],[Content Type]])</f>
        <v>Local: General: Current News &amp; Events</v>
      </c>
      <c r="H8" s="54" t="str">
        <f>_xlfn.CONCAT(Table13[[#This Row],[Geographic Scope]],": ",Table13[[#This Row],[Content Type]])</f>
        <v>Local: Current News &amp; Events</v>
      </c>
      <c r="I8" s="55">
        <v>658895.93387096771</v>
      </c>
      <c r="J8" s="55">
        <v>518251.71833333338</v>
      </c>
      <c r="K8" s="55">
        <v>180674.90370370372</v>
      </c>
      <c r="L8" s="54">
        <v>337993.31107142859</v>
      </c>
      <c r="M8" s="54">
        <v>153185.92272727273</v>
      </c>
      <c r="N8" s="54">
        <v>143209.36862068967</v>
      </c>
      <c r="O8" s="54">
        <v>41755.167419354846</v>
      </c>
      <c r="P8" s="54">
        <v>23355.629032258064</v>
      </c>
      <c r="Q8" s="54">
        <v>68859.258064516136</v>
      </c>
      <c r="R8" s="54">
        <v>30702.75</v>
      </c>
      <c r="S8" s="54">
        <v>115711.83333333333</v>
      </c>
      <c r="T8" s="54">
        <v>69915.425000000003</v>
      </c>
      <c r="U8" s="54">
        <v>51669.45888888889</v>
      </c>
      <c r="V8" s="54">
        <v>177523</v>
      </c>
      <c r="W8" s="54">
        <v>13372.74</v>
      </c>
      <c r="X8" s="54">
        <v>32873.362500000003</v>
      </c>
      <c r="Y8" s="54">
        <v>513133.53656249994</v>
      </c>
      <c r="Z8" s="54">
        <v>377310.99531250005</v>
      </c>
      <c r="AA8" s="54">
        <v>890444.5318750001</v>
      </c>
      <c r="AB8" s="54">
        <v>8.4716216216216207</v>
      </c>
      <c r="AC8" s="54">
        <v>6.0189189189189189</v>
      </c>
      <c r="AD8" s="54">
        <v>3.2410714285714284</v>
      </c>
      <c r="AE8" s="54">
        <v>506626.39920000004</v>
      </c>
      <c r="AF8" s="54">
        <v>357700.67571428569</v>
      </c>
      <c r="AG8" s="54">
        <v>185809.21071428573</v>
      </c>
      <c r="AH8" s="54">
        <v>218884.81978260871</v>
      </c>
      <c r="AI8" s="54">
        <v>102236.50937499999</v>
      </c>
      <c r="AJ8" s="54">
        <v>107951.91428571429</v>
      </c>
      <c r="AK8" s="54">
        <v>38492.880000000005</v>
      </c>
      <c r="AL8" s="54">
        <v>18903.348000000002</v>
      </c>
      <c r="AM8" s="54">
        <v>48396.648000000001</v>
      </c>
      <c r="AN8" s="54">
        <v>41015.649999999994</v>
      </c>
      <c r="AO8" s="54">
        <v>173323.45733333335</v>
      </c>
      <c r="AP8" s="54">
        <v>47006.517857142855</v>
      </c>
      <c r="AQ8" s="54">
        <v>38085.548461538463</v>
      </c>
      <c r="AR8" s="54">
        <v>121145.11111111111</v>
      </c>
      <c r="AS8" s="54">
        <v>220.74</v>
      </c>
      <c r="AT8" s="54">
        <v>22520.766875000001</v>
      </c>
      <c r="AU8" s="54">
        <v>387710.28823529411</v>
      </c>
      <c r="AV8" s="54">
        <v>251234.2737254902</v>
      </c>
      <c r="AW8" s="54">
        <v>638944.56196078437</v>
      </c>
      <c r="AX8" s="54">
        <v>7.6517857142857144</v>
      </c>
      <c r="AY8" s="54">
        <v>5.35</v>
      </c>
      <c r="AZ8" s="54">
        <v>2.9184782608695654</v>
      </c>
      <c r="BA8" s="54" t="s">
        <v>339</v>
      </c>
      <c r="BB8" s="54" t="s">
        <v>348</v>
      </c>
    </row>
    <row r="9" spans="1:54" x14ac:dyDescent="0.25">
      <c r="A9" s="54">
        <v>401</v>
      </c>
      <c r="B9" s="54">
        <v>2015</v>
      </c>
      <c r="C9" s="88" t="s">
        <v>82</v>
      </c>
      <c r="D9" s="54" t="s">
        <v>7</v>
      </c>
      <c r="E9" s="54" t="s">
        <v>77</v>
      </c>
      <c r="F9" s="54" t="str">
        <f>_xlfn.CONCAT(Table13[[#This Row],[Geographic Scope]],": ",Table13[[#This Row],[Sub-Type/Focus]])</f>
        <v>Local: General</v>
      </c>
      <c r="G9" s="54" t="str">
        <f>_xlfn.CONCAT(Table13[[#This Row],[Geographic Scope]],": ",Table13[[#This Row],[Sub-Type/Focus]],": ",Table13[[#This Row],[Content Type]])</f>
        <v>Local: General: Current News &amp; Events</v>
      </c>
      <c r="H9" s="54" t="str">
        <f>_xlfn.CONCAT(Table13[[#This Row],[Geographic Scope]],": ",Table13[[#This Row],[Content Type]])</f>
        <v>Local: Current News &amp; Events</v>
      </c>
      <c r="I9" s="55">
        <v>658895.93387096771</v>
      </c>
      <c r="J9" s="55">
        <v>518251.71833333338</v>
      </c>
      <c r="K9" s="55">
        <v>180674.90370370372</v>
      </c>
      <c r="L9" s="54">
        <v>337993.31107142859</v>
      </c>
      <c r="M9" s="54">
        <v>153185.92272727273</v>
      </c>
      <c r="N9" s="54">
        <v>143209.36862068967</v>
      </c>
      <c r="O9" s="54">
        <v>41755.167419354846</v>
      </c>
      <c r="P9" s="54">
        <v>23355.629032258064</v>
      </c>
      <c r="Q9" s="54">
        <v>68859.258064516136</v>
      </c>
      <c r="R9" s="54">
        <v>30702.75</v>
      </c>
      <c r="S9" s="54">
        <v>115711.83333333333</v>
      </c>
      <c r="T9" s="54">
        <v>69915.425000000003</v>
      </c>
      <c r="U9" s="54">
        <v>51669.45888888889</v>
      </c>
      <c r="V9" s="54">
        <v>177523</v>
      </c>
      <c r="W9" s="54">
        <v>13372.74</v>
      </c>
      <c r="X9" s="54">
        <v>32873.362500000003</v>
      </c>
      <c r="Y9" s="54">
        <v>513133.53656249994</v>
      </c>
      <c r="Z9" s="54">
        <v>377310.99531250005</v>
      </c>
      <c r="AA9" s="54">
        <v>890444.5318750001</v>
      </c>
      <c r="AB9" s="54">
        <v>8.4716216216216207</v>
      </c>
      <c r="AC9" s="54">
        <v>6.0189189189189189</v>
      </c>
      <c r="AD9" s="54">
        <v>3.2410714285714284</v>
      </c>
      <c r="AE9" s="54">
        <v>506626.39920000004</v>
      </c>
      <c r="AF9" s="54">
        <v>357700.67571428569</v>
      </c>
      <c r="AG9" s="54">
        <v>185809.21071428573</v>
      </c>
      <c r="AH9" s="54">
        <v>218884.81978260871</v>
      </c>
      <c r="AI9" s="54">
        <v>102236.50937499999</v>
      </c>
      <c r="AJ9" s="54">
        <v>107951.91428571429</v>
      </c>
      <c r="AK9" s="54">
        <v>38492.880000000005</v>
      </c>
      <c r="AL9" s="54">
        <v>18903.348000000002</v>
      </c>
      <c r="AM9" s="54">
        <v>48396.648000000001</v>
      </c>
      <c r="AN9" s="54">
        <v>41015.649999999994</v>
      </c>
      <c r="AO9" s="54">
        <v>173323.45733333335</v>
      </c>
      <c r="AP9" s="54">
        <v>47006.517857142855</v>
      </c>
      <c r="AQ9" s="54">
        <v>38085.548461538463</v>
      </c>
      <c r="AR9" s="54">
        <v>121145.11111111111</v>
      </c>
      <c r="AS9" s="54">
        <v>220.74</v>
      </c>
      <c r="AT9" s="54">
        <v>22520.766875000001</v>
      </c>
      <c r="AU9" s="54">
        <v>387710.28823529411</v>
      </c>
      <c r="AV9" s="54">
        <v>251234.2737254902</v>
      </c>
      <c r="AW9" s="54">
        <v>638944.56196078437</v>
      </c>
      <c r="AX9" s="54">
        <v>7.6517857142857144</v>
      </c>
      <c r="AY9" s="54">
        <v>5.35</v>
      </c>
      <c r="AZ9" s="54">
        <v>2.9184782608695654</v>
      </c>
      <c r="BA9" s="54" t="s">
        <v>342</v>
      </c>
    </row>
    <row r="10" spans="1:54" x14ac:dyDescent="0.25">
      <c r="A10" s="54">
        <v>404</v>
      </c>
      <c r="B10" s="54">
        <v>2015</v>
      </c>
      <c r="C10" s="88" t="s">
        <v>82</v>
      </c>
      <c r="D10" s="54" t="s">
        <v>7</v>
      </c>
      <c r="E10" s="54" t="s">
        <v>77</v>
      </c>
      <c r="F10" s="54" t="str">
        <f>_xlfn.CONCAT(Table13[[#This Row],[Geographic Scope]],": ",Table13[[#This Row],[Sub-Type/Focus]])</f>
        <v>Local: General</v>
      </c>
      <c r="G10" s="54" t="str">
        <f>_xlfn.CONCAT(Table13[[#This Row],[Geographic Scope]],": ",Table13[[#This Row],[Sub-Type/Focus]],": ",Table13[[#This Row],[Content Type]])</f>
        <v>Local: General: Current News &amp; Events</v>
      </c>
      <c r="H10" s="54" t="str">
        <f>_xlfn.CONCAT(Table13[[#This Row],[Geographic Scope]],": ",Table13[[#This Row],[Content Type]])</f>
        <v>Local: Current News &amp; Events</v>
      </c>
      <c r="I10" s="55">
        <v>658895.93387096771</v>
      </c>
      <c r="J10" s="55">
        <v>518251.71833333338</v>
      </c>
      <c r="K10" s="55">
        <v>180674.90370370372</v>
      </c>
      <c r="L10" s="54">
        <v>337993.31107142859</v>
      </c>
      <c r="M10" s="54">
        <v>153185.92272727273</v>
      </c>
      <c r="N10" s="54">
        <v>143209.36862068967</v>
      </c>
      <c r="O10" s="54">
        <v>41755.167419354846</v>
      </c>
      <c r="P10" s="54">
        <v>23355.629032258064</v>
      </c>
      <c r="Q10" s="54">
        <v>68859.258064516136</v>
      </c>
      <c r="R10" s="54">
        <v>30702.75</v>
      </c>
      <c r="S10" s="54">
        <v>115711.83333333333</v>
      </c>
      <c r="T10" s="54">
        <v>69915.425000000003</v>
      </c>
      <c r="U10" s="54">
        <v>51669.45888888889</v>
      </c>
      <c r="V10" s="54">
        <v>177523</v>
      </c>
      <c r="W10" s="54">
        <v>13372.74</v>
      </c>
      <c r="X10" s="54">
        <v>32873.362500000003</v>
      </c>
      <c r="Y10" s="54">
        <v>513133.53656249994</v>
      </c>
      <c r="Z10" s="54">
        <v>377310.99531250005</v>
      </c>
      <c r="AA10" s="54">
        <v>890444.5318750001</v>
      </c>
      <c r="AB10" s="54">
        <v>8.4716216216216207</v>
      </c>
      <c r="AC10" s="54">
        <v>6.0189189189189189</v>
      </c>
      <c r="AD10" s="54">
        <v>3.2410714285714284</v>
      </c>
      <c r="AE10" s="54">
        <v>506626.39920000004</v>
      </c>
      <c r="AF10" s="54">
        <v>357700.67571428569</v>
      </c>
      <c r="AG10" s="54">
        <v>185809.21071428573</v>
      </c>
      <c r="AH10" s="54">
        <v>218884.81978260871</v>
      </c>
      <c r="AI10" s="54">
        <v>102236.50937499999</v>
      </c>
      <c r="AJ10" s="54">
        <v>107951.91428571429</v>
      </c>
      <c r="AK10" s="54">
        <v>38492.880000000005</v>
      </c>
      <c r="AL10" s="54">
        <v>18903.348000000002</v>
      </c>
      <c r="AM10" s="54">
        <v>48396.648000000001</v>
      </c>
      <c r="AN10" s="54">
        <v>41015.649999999994</v>
      </c>
      <c r="AO10" s="54">
        <v>173323.45733333335</v>
      </c>
      <c r="AP10" s="54">
        <v>47006.517857142855</v>
      </c>
      <c r="AQ10" s="54">
        <v>38085.548461538463</v>
      </c>
      <c r="AR10" s="54">
        <v>121145.11111111111</v>
      </c>
      <c r="AS10" s="54">
        <v>220.74</v>
      </c>
      <c r="AT10" s="54">
        <v>22520.766875000001</v>
      </c>
      <c r="AU10" s="54">
        <v>387710.28823529411</v>
      </c>
      <c r="AV10" s="54">
        <v>251234.2737254902</v>
      </c>
      <c r="AW10" s="54">
        <v>638944.56196078437</v>
      </c>
      <c r="AX10" s="54">
        <v>7.6517857142857144</v>
      </c>
      <c r="AY10" s="54">
        <v>5.35</v>
      </c>
      <c r="AZ10" s="54">
        <v>2.9184782608695654</v>
      </c>
      <c r="BA10" s="54" t="s">
        <v>342</v>
      </c>
      <c r="BB10" s="54" t="s">
        <v>349</v>
      </c>
    </row>
    <row r="11" spans="1:54" x14ac:dyDescent="0.25">
      <c r="A11" s="54">
        <v>411</v>
      </c>
      <c r="B11" s="54">
        <v>2008</v>
      </c>
      <c r="C11" s="88" t="s">
        <v>82</v>
      </c>
      <c r="D11" s="54" t="s">
        <v>7</v>
      </c>
      <c r="E11" s="54" t="s">
        <v>77</v>
      </c>
      <c r="F11" s="54" t="str">
        <f>_xlfn.CONCAT(Table13[[#This Row],[Geographic Scope]],": ",Table13[[#This Row],[Sub-Type/Focus]])</f>
        <v>Local: General</v>
      </c>
      <c r="G11" s="54" t="str">
        <f>_xlfn.CONCAT(Table13[[#This Row],[Geographic Scope]],": ",Table13[[#This Row],[Sub-Type/Focus]],": ",Table13[[#This Row],[Content Type]])</f>
        <v>Local: General: Current News &amp; Events</v>
      </c>
      <c r="H11" s="54" t="str">
        <f>_xlfn.CONCAT(Table13[[#This Row],[Geographic Scope]],": ",Table13[[#This Row],[Content Type]])</f>
        <v>Local: Current News &amp; Events</v>
      </c>
      <c r="I11" s="55">
        <v>658895.93387096771</v>
      </c>
      <c r="J11" s="55">
        <v>518251.71833333338</v>
      </c>
      <c r="K11" s="55">
        <v>180674.90370370372</v>
      </c>
      <c r="L11" s="54">
        <v>337993.31107142859</v>
      </c>
      <c r="M11" s="54">
        <v>153185.92272727273</v>
      </c>
      <c r="N11" s="54">
        <v>143209.36862068967</v>
      </c>
      <c r="O11" s="54">
        <v>41755.167419354846</v>
      </c>
      <c r="P11" s="54">
        <v>23355.629032258064</v>
      </c>
      <c r="Q11" s="54">
        <v>68859.258064516136</v>
      </c>
      <c r="R11" s="54">
        <v>30702.75</v>
      </c>
      <c r="S11" s="54">
        <v>115711.83333333333</v>
      </c>
      <c r="T11" s="54">
        <v>69915.425000000003</v>
      </c>
      <c r="U11" s="54">
        <v>51669.45888888889</v>
      </c>
      <c r="V11" s="54">
        <v>177523</v>
      </c>
      <c r="W11" s="54">
        <v>13372.74</v>
      </c>
      <c r="X11" s="54">
        <v>32873.362500000003</v>
      </c>
      <c r="Y11" s="54">
        <v>513133.53656249994</v>
      </c>
      <c r="Z11" s="54">
        <v>377310.99531250005</v>
      </c>
      <c r="AA11" s="54">
        <v>890444.5318750001</v>
      </c>
      <c r="AB11" s="54">
        <v>8.4716216216216207</v>
      </c>
      <c r="AC11" s="54">
        <v>6.0189189189189189</v>
      </c>
      <c r="AD11" s="54">
        <v>3.2410714285714284</v>
      </c>
      <c r="AE11" s="54">
        <v>506626.39920000004</v>
      </c>
      <c r="AF11" s="54">
        <v>357700.67571428569</v>
      </c>
      <c r="AG11" s="54">
        <v>185809.21071428573</v>
      </c>
      <c r="AH11" s="54">
        <v>218884.81978260871</v>
      </c>
      <c r="AI11" s="54">
        <v>102236.50937499999</v>
      </c>
      <c r="AJ11" s="54">
        <v>107951.91428571429</v>
      </c>
      <c r="AK11" s="54">
        <v>38492.880000000005</v>
      </c>
      <c r="AL11" s="54">
        <v>18903.348000000002</v>
      </c>
      <c r="AM11" s="54">
        <v>48396.648000000001</v>
      </c>
      <c r="AN11" s="54">
        <v>41015.649999999994</v>
      </c>
      <c r="AO11" s="54">
        <v>173323.45733333335</v>
      </c>
      <c r="AP11" s="54">
        <v>47006.517857142855</v>
      </c>
      <c r="AQ11" s="54">
        <v>38085.548461538463</v>
      </c>
      <c r="AR11" s="54">
        <v>121145.11111111111</v>
      </c>
      <c r="AS11" s="54">
        <v>220.74</v>
      </c>
      <c r="AT11" s="54">
        <v>22520.766875000001</v>
      </c>
      <c r="AU11" s="54">
        <v>387710.28823529411</v>
      </c>
      <c r="AV11" s="54">
        <v>251234.2737254902</v>
      </c>
      <c r="AW11" s="54">
        <v>638944.56196078437</v>
      </c>
      <c r="AX11" s="54">
        <v>7.6517857142857144</v>
      </c>
      <c r="AY11" s="54">
        <v>5.35</v>
      </c>
      <c r="AZ11" s="54">
        <v>2.9184782608695654</v>
      </c>
      <c r="BA11" s="54" t="s">
        <v>339</v>
      </c>
      <c r="BB11" s="54" t="s">
        <v>348</v>
      </c>
    </row>
    <row r="12" spans="1:54" x14ac:dyDescent="0.25">
      <c r="A12" s="54">
        <v>423</v>
      </c>
      <c r="B12" s="54">
        <v>2005</v>
      </c>
      <c r="C12" s="88" t="s">
        <v>82</v>
      </c>
      <c r="D12" s="54" t="s">
        <v>7</v>
      </c>
      <c r="E12" s="54" t="s">
        <v>77</v>
      </c>
      <c r="F12" s="54" t="str">
        <f>_xlfn.CONCAT(Table13[[#This Row],[Geographic Scope]],": ",Table13[[#This Row],[Sub-Type/Focus]])</f>
        <v>Local: General</v>
      </c>
      <c r="G12" s="54" t="str">
        <f>_xlfn.CONCAT(Table13[[#This Row],[Geographic Scope]],": ",Table13[[#This Row],[Sub-Type/Focus]],": ",Table13[[#This Row],[Content Type]])</f>
        <v>Local: General: Current News &amp; Events</v>
      </c>
      <c r="H12" s="54" t="str">
        <f>_xlfn.CONCAT(Table13[[#This Row],[Geographic Scope]],": ",Table13[[#This Row],[Content Type]])</f>
        <v>Local: Current News &amp; Events</v>
      </c>
      <c r="I12" s="55">
        <v>658895.93387096771</v>
      </c>
      <c r="J12" s="55">
        <v>518251.71833333338</v>
      </c>
      <c r="K12" s="55">
        <v>180674.90370370372</v>
      </c>
      <c r="L12" s="54">
        <v>337993.31107142859</v>
      </c>
      <c r="M12" s="54">
        <v>153185.92272727273</v>
      </c>
      <c r="N12" s="54">
        <v>143209.36862068967</v>
      </c>
      <c r="O12" s="54">
        <v>41755.167419354846</v>
      </c>
      <c r="P12" s="54">
        <v>23355.629032258064</v>
      </c>
      <c r="Q12" s="54">
        <v>68859.258064516136</v>
      </c>
      <c r="R12" s="54">
        <v>30702.75</v>
      </c>
      <c r="S12" s="54">
        <v>115711.83333333333</v>
      </c>
      <c r="T12" s="54">
        <v>69915.425000000003</v>
      </c>
      <c r="U12" s="54">
        <v>51669.45888888889</v>
      </c>
      <c r="V12" s="54">
        <v>177523</v>
      </c>
      <c r="W12" s="54">
        <v>13372.74</v>
      </c>
      <c r="X12" s="54">
        <v>32873.362500000003</v>
      </c>
      <c r="Y12" s="54">
        <v>513133.53656249994</v>
      </c>
      <c r="Z12" s="54">
        <v>377310.99531250005</v>
      </c>
      <c r="AA12" s="54">
        <v>890444.5318750001</v>
      </c>
      <c r="AB12" s="54">
        <v>8.4716216216216207</v>
      </c>
      <c r="AC12" s="54">
        <v>6.0189189189189189</v>
      </c>
      <c r="AD12" s="54">
        <v>3.2410714285714284</v>
      </c>
      <c r="AE12" s="54">
        <v>506626.39920000004</v>
      </c>
      <c r="AF12" s="54">
        <v>357700.67571428569</v>
      </c>
      <c r="AG12" s="54">
        <v>185809.21071428573</v>
      </c>
      <c r="AH12" s="54">
        <v>218884.81978260871</v>
      </c>
      <c r="AI12" s="54">
        <v>102236.50937499999</v>
      </c>
      <c r="AJ12" s="54">
        <v>107951.91428571429</v>
      </c>
      <c r="AK12" s="54">
        <v>38492.880000000005</v>
      </c>
      <c r="AL12" s="54">
        <v>18903.348000000002</v>
      </c>
      <c r="AM12" s="54">
        <v>48396.648000000001</v>
      </c>
      <c r="AN12" s="54">
        <v>41015.649999999994</v>
      </c>
      <c r="AO12" s="54">
        <v>173323.45733333335</v>
      </c>
      <c r="AP12" s="54">
        <v>47006.517857142855</v>
      </c>
      <c r="AQ12" s="54">
        <v>38085.548461538463</v>
      </c>
      <c r="AR12" s="54">
        <v>121145.11111111111</v>
      </c>
      <c r="AS12" s="54">
        <v>220.74</v>
      </c>
      <c r="AT12" s="54">
        <v>22520.766875000001</v>
      </c>
      <c r="AU12" s="54">
        <v>387710.28823529411</v>
      </c>
      <c r="AV12" s="54">
        <v>251234.2737254902</v>
      </c>
      <c r="AW12" s="54">
        <v>638944.56196078437</v>
      </c>
      <c r="AX12" s="54">
        <v>7.6517857142857144</v>
      </c>
      <c r="AY12" s="54">
        <v>5.35</v>
      </c>
      <c r="AZ12" s="54">
        <v>2.9184782608695654</v>
      </c>
      <c r="BA12" s="54" t="s">
        <v>343</v>
      </c>
      <c r="BB12" s="54" t="s">
        <v>350</v>
      </c>
    </row>
    <row r="13" spans="1:54" x14ac:dyDescent="0.25">
      <c r="A13" s="54">
        <v>432</v>
      </c>
      <c r="B13" s="54">
        <v>2010</v>
      </c>
      <c r="C13" s="88" t="s">
        <v>82</v>
      </c>
      <c r="D13" s="54" t="s">
        <v>7</v>
      </c>
      <c r="E13" s="54" t="s">
        <v>77</v>
      </c>
      <c r="F13" s="54" t="str">
        <f>_xlfn.CONCAT(Table13[[#This Row],[Geographic Scope]],": ",Table13[[#This Row],[Sub-Type/Focus]])</f>
        <v>Local: General</v>
      </c>
      <c r="G13" s="54" t="str">
        <f>_xlfn.CONCAT(Table13[[#This Row],[Geographic Scope]],": ",Table13[[#This Row],[Sub-Type/Focus]],": ",Table13[[#This Row],[Content Type]])</f>
        <v>Local: General: Current News &amp; Events</v>
      </c>
      <c r="H13" s="54" t="str">
        <f>_xlfn.CONCAT(Table13[[#This Row],[Geographic Scope]],": ",Table13[[#This Row],[Content Type]])</f>
        <v>Local: Current News &amp; Events</v>
      </c>
      <c r="I13" s="55">
        <v>658895.93387096771</v>
      </c>
      <c r="J13" s="55">
        <v>518251.71833333338</v>
      </c>
      <c r="K13" s="55">
        <v>180674.90370370372</v>
      </c>
      <c r="L13" s="54">
        <v>337993.31107142859</v>
      </c>
      <c r="M13" s="54">
        <v>153185.92272727273</v>
      </c>
      <c r="N13" s="54">
        <v>143209.36862068967</v>
      </c>
      <c r="O13" s="54">
        <v>41755.167419354846</v>
      </c>
      <c r="P13" s="54">
        <v>23355.629032258064</v>
      </c>
      <c r="Q13" s="54">
        <v>68859.258064516136</v>
      </c>
      <c r="R13" s="54">
        <v>30702.75</v>
      </c>
      <c r="S13" s="54">
        <v>115711.83333333333</v>
      </c>
      <c r="T13" s="54">
        <v>69915.425000000003</v>
      </c>
      <c r="U13" s="54">
        <v>51669.45888888889</v>
      </c>
      <c r="V13" s="54">
        <v>177523</v>
      </c>
      <c r="W13" s="54">
        <v>13372.74</v>
      </c>
      <c r="X13" s="54">
        <v>32873.362500000003</v>
      </c>
      <c r="Y13" s="54">
        <v>513133.53656249994</v>
      </c>
      <c r="Z13" s="54">
        <v>377310.99531250005</v>
      </c>
      <c r="AA13" s="54">
        <v>890444.5318750001</v>
      </c>
      <c r="AB13" s="54">
        <v>8.4716216216216207</v>
      </c>
      <c r="AC13" s="54">
        <v>6.0189189189189189</v>
      </c>
      <c r="AD13" s="54">
        <v>3.2410714285714284</v>
      </c>
      <c r="AE13" s="54">
        <v>506626.39920000004</v>
      </c>
      <c r="AF13" s="54">
        <v>357700.67571428569</v>
      </c>
      <c r="AG13" s="54">
        <v>185809.21071428573</v>
      </c>
      <c r="AH13" s="54">
        <v>218884.81978260871</v>
      </c>
      <c r="AI13" s="54">
        <v>102236.50937499999</v>
      </c>
      <c r="AJ13" s="54">
        <v>107951.91428571429</v>
      </c>
      <c r="AK13" s="54">
        <v>38492.880000000005</v>
      </c>
      <c r="AL13" s="54">
        <v>18903.348000000002</v>
      </c>
      <c r="AM13" s="54">
        <v>48396.648000000001</v>
      </c>
      <c r="AN13" s="54">
        <v>41015.649999999994</v>
      </c>
      <c r="AO13" s="54">
        <v>173323.45733333335</v>
      </c>
      <c r="AP13" s="54">
        <v>47006.517857142855</v>
      </c>
      <c r="AQ13" s="54">
        <v>38085.548461538463</v>
      </c>
      <c r="AR13" s="54">
        <v>121145.11111111111</v>
      </c>
      <c r="AS13" s="54">
        <v>220.74</v>
      </c>
      <c r="AT13" s="54">
        <v>22520.766875000001</v>
      </c>
      <c r="AU13" s="54">
        <v>387710.28823529411</v>
      </c>
      <c r="AV13" s="54">
        <v>251234.2737254902</v>
      </c>
      <c r="AW13" s="54">
        <v>638944.56196078437</v>
      </c>
      <c r="AX13" s="54">
        <v>7.6517857142857144</v>
      </c>
      <c r="AY13" s="54">
        <v>5.35</v>
      </c>
      <c r="AZ13" s="54">
        <v>2.9184782608695654</v>
      </c>
      <c r="BA13" s="54" t="s">
        <v>342</v>
      </c>
    </row>
    <row r="14" spans="1:54" x14ac:dyDescent="0.25">
      <c r="A14" s="54">
        <v>449</v>
      </c>
      <c r="B14" s="54">
        <v>2012</v>
      </c>
      <c r="C14" s="88" t="s">
        <v>82</v>
      </c>
      <c r="D14" s="54" t="s">
        <v>7</v>
      </c>
      <c r="E14" s="54" t="s">
        <v>77</v>
      </c>
      <c r="F14" s="54" t="str">
        <f>_xlfn.CONCAT(Table13[[#This Row],[Geographic Scope]],": ",Table13[[#This Row],[Sub-Type/Focus]])</f>
        <v>Local: General</v>
      </c>
      <c r="G14" s="54" t="str">
        <f>_xlfn.CONCAT(Table13[[#This Row],[Geographic Scope]],": ",Table13[[#This Row],[Sub-Type/Focus]],": ",Table13[[#This Row],[Content Type]])</f>
        <v>Local: General: Current News &amp; Events</v>
      </c>
      <c r="H14" s="54" t="str">
        <f>_xlfn.CONCAT(Table13[[#This Row],[Geographic Scope]],": ",Table13[[#This Row],[Content Type]])</f>
        <v>Local: Current News &amp; Events</v>
      </c>
      <c r="I14" s="55">
        <v>658895.93387096771</v>
      </c>
      <c r="J14" s="55">
        <v>518251.71833333338</v>
      </c>
      <c r="K14" s="55">
        <v>180674.90370370372</v>
      </c>
      <c r="L14" s="54">
        <v>337993.31107142859</v>
      </c>
      <c r="M14" s="54">
        <v>153185.92272727273</v>
      </c>
      <c r="N14" s="54">
        <v>143209.36862068967</v>
      </c>
      <c r="O14" s="54">
        <v>41755.167419354846</v>
      </c>
      <c r="P14" s="54">
        <v>23355.629032258064</v>
      </c>
      <c r="Q14" s="54">
        <v>68859.258064516136</v>
      </c>
      <c r="R14" s="54">
        <v>30702.75</v>
      </c>
      <c r="S14" s="54">
        <v>115711.83333333333</v>
      </c>
      <c r="T14" s="54">
        <v>69915.425000000003</v>
      </c>
      <c r="U14" s="54">
        <v>51669.45888888889</v>
      </c>
      <c r="V14" s="54">
        <v>177523</v>
      </c>
      <c r="W14" s="54">
        <v>13372.74</v>
      </c>
      <c r="X14" s="54">
        <v>32873.362500000003</v>
      </c>
      <c r="Y14" s="54">
        <v>513133.53656249994</v>
      </c>
      <c r="Z14" s="54">
        <v>377310.99531250005</v>
      </c>
      <c r="AA14" s="54">
        <v>890444.5318750001</v>
      </c>
      <c r="AB14" s="54">
        <v>8.4716216216216207</v>
      </c>
      <c r="AC14" s="54">
        <v>6.0189189189189189</v>
      </c>
      <c r="AD14" s="54">
        <v>3.2410714285714284</v>
      </c>
      <c r="AE14" s="54">
        <v>506626.39920000004</v>
      </c>
      <c r="AF14" s="54">
        <v>357700.67571428569</v>
      </c>
      <c r="AG14" s="54">
        <v>185809.21071428573</v>
      </c>
      <c r="AH14" s="54">
        <v>218884.81978260871</v>
      </c>
      <c r="AI14" s="54">
        <v>102236.50937499999</v>
      </c>
      <c r="AJ14" s="54">
        <v>107951.91428571429</v>
      </c>
      <c r="AK14" s="54">
        <v>38492.880000000005</v>
      </c>
      <c r="AL14" s="54">
        <v>18903.348000000002</v>
      </c>
      <c r="AM14" s="54">
        <v>48396.648000000001</v>
      </c>
      <c r="AN14" s="54">
        <v>41015.649999999994</v>
      </c>
      <c r="AO14" s="54">
        <v>173323.45733333335</v>
      </c>
      <c r="AP14" s="54">
        <v>47006.517857142855</v>
      </c>
      <c r="AQ14" s="54">
        <v>38085.548461538463</v>
      </c>
      <c r="AR14" s="54">
        <v>121145.11111111111</v>
      </c>
      <c r="AS14" s="54">
        <v>220.74</v>
      </c>
      <c r="AT14" s="54">
        <v>22520.766875000001</v>
      </c>
      <c r="AU14" s="54">
        <v>387710.28823529411</v>
      </c>
      <c r="AV14" s="54">
        <v>251234.2737254902</v>
      </c>
      <c r="AW14" s="54">
        <v>638944.56196078437</v>
      </c>
      <c r="AX14" s="54">
        <v>7.6517857142857144</v>
      </c>
      <c r="AY14" s="54">
        <v>5.35</v>
      </c>
      <c r="AZ14" s="54">
        <v>2.9184782608695654</v>
      </c>
      <c r="BA14" s="54" t="s">
        <v>342</v>
      </c>
    </row>
    <row r="15" spans="1:54" x14ac:dyDescent="0.25">
      <c r="A15" s="54">
        <v>452</v>
      </c>
      <c r="B15" s="54">
        <v>2008</v>
      </c>
      <c r="C15" s="88" t="s">
        <v>82</v>
      </c>
      <c r="D15" s="54" t="s">
        <v>7</v>
      </c>
      <c r="E15" s="54" t="s">
        <v>77</v>
      </c>
      <c r="F15" s="54" t="str">
        <f>_xlfn.CONCAT(Table13[[#This Row],[Geographic Scope]],": ",Table13[[#This Row],[Sub-Type/Focus]])</f>
        <v>Local: General</v>
      </c>
      <c r="G15" s="54" t="str">
        <f>_xlfn.CONCAT(Table13[[#This Row],[Geographic Scope]],": ",Table13[[#This Row],[Sub-Type/Focus]],": ",Table13[[#This Row],[Content Type]])</f>
        <v>Local: General: Current News &amp; Events</v>
      </c>
      <c r="H15" s="54" t="str">
        <f>_xlfn.CONCAT(Table13[[#This Row],[Geographic Scope]],": ",Table13[[#This Row],[Content Type]])</f>
        <v>Local: Current News &amp; Events</v>
      </c>
      <c r="I15" s="55">
        <v>658895.93387096771</v>
      </c>
      <c r="J15" s="55">
        <v>518251.71833333338</v>
      </c>
      <c r="K15" s="55">
        <v>180674.90370370372</v>
      </c>
      <c r="L15" s="54">
        <v>337993.31107142859</v>
      </c>
      <c r="M15" s="54">
        <v>153185.92272727273</v>
      </c>
      <c r="N15" s="54">
        <v>143209.36862068967</v>
      </c>
      <c r="O15" s="54">
        <v>41755.167419354846</v>
      </c>
      <c r="P15" s="54">
        <v>23355.629032258064</v>
      </c>
      <c r="Q15" s="54">
        <v>68859.258064516136</v>
      </c>
      <c r="R15" s="54">
        <v>30702.75</v>
      </c>
      <c r="S15" s="54">
        <v>115711.83333333333</v>
      </c>
      <c r="T15" s="54">
        <v>69915.425000000003</v>
      </c>
      <c r="U15" s="54">
        <v>51669.45888888889</v>
      </c>
      <c r="V15" s="54">
        <v>177523</v>
      </c>
      <c r="W15" s="54">
        <v>13372.74</v>
      </c>
      <c r="X15" s="54">
        <v>32873.362500000003</v>
      </c>
      <c r="Y15" s="54">
        <v>513133.53656249994</v>
      </c>
      <c r="Z15" s="54">
        <v>377310.99531250005</v>
      </c>
      <c r="AA15" s="54">
        <v>890444.5318750001</v>
      </c>
      <c r="AB15" s="54">
        <v>8.4716216216216207</v>
      </c>
      <c r="AC15" s="54">
        <v>6.0189189189189189</v>
      </c>
      <c r="AD15" s="54">
        <v>3.2410714285714284</v>
      </c>
      <c r="AE15" s="54">
        <v>506626.39920000004</v>
      </c>
      <c r="AF15" s="54">
        <v>357700.67571428569</v>
      </c>
      <c r="AG15" s="54">
        <v>185809.21071428573</v>
      </c>
      <c r="AH15" s="54">
        <v>218884.81978260871</v>
      </c>
      <c r="AI15" s="54">
        <v>102236.50937499999</v>
      </c>
      <c r="AJ15" s="54">
        <v>107951.91428571429</v>
      </c>
      <c r="AK15" s="54">
        <v>38492.880000000005</v>
      </c>
      <c r="AL15" s="54">
        <v>18903.348000000002</v>
      </c>
      <c r="AM15" s="54">
        <v>48396.648000000001</v>
      </c>
      <c r="AN15" s="54">
        <v>41015.649999999994</v>
      </c>
      <c r="AO15" s="54">
        <v>173323.45733333335</v>
      </c>
      <c r="AP15" s="54">
        <v>47006.517857142855</v>
      </c>
      <c r="AQ15" s="54">
        <v>38085.548461538463</v>
      </c>
      <c r="AR15" s="54">
        <v>121145.11111111111</v>
      </c>
      <c r="AS15" s="54">
        <v>220.74</v>
      </c>
      <c r="AT15" s="54">
        <v>22520.766875000001</v>
      </c>
      <c r="AU15" s="54">
        <v>387710.28823529411</v>
      </c>
      <c r="AV15" s="54">
        <v>251234.2737254902</v>
      </c>
      <c r="AW15" s="54">
        <v>638944.56196078437</v>
      </c>
      <c r="AX15" s="54">
        <v>7.6517857142857144</v>
      </c>
      <c r="AY15" s="54">
        <v>5.35</v>
      </c>
      <c r="AZ15" s="54">
        <v>2.9184782608695654</v>
      </c>
      <c r="BA15" s="54" t="s">
        <v>343</v>
      </c>
      <c r="BB15" s="54" t="s">
        <v>351</v>
      </c>
    </row>
    <row r="16" spans="1:54" x14ac:dyDescent="0.25">
      <c r="A16" s="54">
        <v>475</v>
      </c>
      <c r="B16" s="54">
        <v>2019</v>
      </c>
      <c r="C16" s="88" t="s">
        <v>82</v>
      </c>
      <c r="D16" s="54" t="s">
        <v>7</v>
      </c>
      <c r="E16" s="54" t="s">
        <v>77</v>
      </c>
      <c r="F16" s="54" t="str">
        <f>_xlfn.CONCAT(Table13[[#This Row],[Geographic Scope]],": ",Table13[[#This Row],[Sub-Type/Focus]])</f>
        <v>Local: General</v>
      </c>
      <c r="G16" s="54" t="str">
        <f>_xlfn.CONCAT(Table13[[#This Row],[Geographic Scope]],": ",Table13[[#This Row],[Sub-Type/Focus]],": ",Table13[[#This Row],[Content Type]])</f>
        <v>Local: General: Current News &amp; Events</v>
      </c>
      <c r="H16" s="54" t="str">
        <f>_xlfn.CONCAT(Table13[[#This Row],[Geographic Scope]],": ",Table13[[#This Row],[Content Type]])</f>
        <v>Local: Current News &amp; Events</v>
      </c>
      <c r="I16" s="55">
        <v>658895.93387096771</v>
      </c>
      <c r="J16" s="55">
        <v>518251.71833333338</v>
      </c>
      <c r="K16" s="55">
        <v>180674.90370370372</v>
      </c>
      <c r="L16" s="54">
        <v>337993.31107142859</v>
      </c>
      <c r="M16" s="54">
        <v>153185.92272727273</v>
      </c>
      <c r="N16" s="54">
        <v>143209.36862068967</v>
      </c>
      <c r="O16" s="54">
        <v>41755.167419354846</v>
      </c>
      <c r="P16" s="54">
        <v>23355.629032258064</v>
      </c>
      <c r="Q16" s="54">
        <v>68859.258064516136</v>
      </c>
      <c r="R16" s="54">
        <v>30702.75</v>
      </c>
      <c r="S16" s="54">
        <v>115711.83333333333</v>
      </c>
      <c r="T16" s="54">
        <v>69915.425000000003</v>
      </c>
      <c r="U16" s="54">
        <v>51669.45888888889</v>
      </c>
      <c r="V16" s="54">
        <v>177523</v>
      </c>
      <c r="W16" s="54">
        <v>13372.74</v>
      </c>
      <c r="X16" s="54">
        <v>32873.362500000003</v>
      </c>
      <c r="Y16" s="54">
        <v>513133.53656249994</v>
      </c>
      <c r="Z16" s="54">
        <v>377310.99531250005</v>
      </c>
      <c r="AA16" s="54">
        <v>890444.5318750001</v>
      </c>
      <c r="AB16" s="54">
        <v>8.4716216216216207</v>
      </c>
      <c r="AC16" s="54">
        <v>6.0189189189189189</v>
      </c>
      <c r="AD16" s="54">
        <v>3.2410714285714284</v>
      </c>
      <c r="AE16" s="54">
        <v>506626.39920000004</v>
      </c>
      <c r="AF16" s="54">
        <v>357700.67571428569</v>
      </c>
      <c r="AG16" s="54">
        <v>185809.21071428573</v>
      </c>
      <c r="AH16" s="54">
        <v>218884.81978260871</v>
      </c>
      <c r="AI16" s="54">
        <v>102236.50937499999</v>
      </c>
      <c r="AJ16" s="54">
        <v>107951.91428571429</v>
      </c>
      <c r="AK16" s="54">
        <v>38492.880000000005</v>
      </c>
      <c r="AL16" s="54">
        <v>18903.348000000002</v>
      </c>
      <c r="AM16" s="54">
        <v>48396.648000000001</v>
      </c>
      <c r="AN16" s="54">
        <v>41015.649999999994</v>
      </c>
      <c r="AO16" s="54">
        <v>173323.45733333335</v>
      </c>
      <c r="AP16" s="54">
        <v>47006.517857142855</v>
      </c>
      <c r="AQ16" s="54">
        <v>38085.548461538463</v>
      </c>
      <c r="AR16" s="54">
        <v>121145.11111111111</v>
      </c>
      <c r="AS16" s="54">
        <v>220.74</v>
      </c>
      <c r="AT16" s="54">
        <v>22520.766875000001</v>
      </c>
      <c r="AU16" s="54">
        <v>387710.28823529411</v>
      </c>
      <c r="AV16" s="54">
        <v>251234.2737254902</v>
      </c>
      <c r="AW16" s="54">
        <v>638944.56196078437</v>
      </c>
      <c r="AX16" s="54">
        <v>7.6517857142857144</v>
      </c>
      <c r="AY16" s="54">
        <v>5.35</v>
      </c>
      <c r="AZ16" s="54">
        <v>2.9184782608695654</v>
      </c>
      <c r="BA16" s="54" t="s">
        <v>342</v>
      </c>
    </row>
    <row r="17" spans="1:54" x14ac:dyDescent="0.25">
      <c r="A17" s="54">
        <v>2893</v>
      </c>
      <c r="B17" s="54">
        <v>2009</v>
      </c>
      <c r="C17" s="88" t="s">
        <v>82</v>
      </c>
      <c r="D17" s="54" t="s">
        <v>7</v>
      </c>
      <c r="E17" s="54" t="s">
        <v>77</v>
      </c>
      <c r="F17" s="54" t="str">
        <f>_xlfn.CONCAT(Table13[[#This Row],[Geographic Scope]],": ",Table13[[#This Row],[Sub-Type/Focus]])</f>
        <v>Local: General</v>
      </c>
      <c r="G17" s="54" t="str">
        <f>_xlfn.CONCAT(Table13[[#This Row],[Geographic Scope]],": ",Table13[[#This Row],[Sub-Type/Focus]],": ",Table13[[#This Row],[Content Type]])</f>
        <v>Local: General: Current News &amp; Events</v>
      </c>
      <c r="H17" s="54" t="str">
        <f>_xlfn.CONCAT(Table13[[#This Row],[Geographic Scope]],": ",Table13[[#This Row],[Content Type]])</f>
        <v>Local: Current News &amp; Events</v>
      </c>
      <c r="I17" s="55">
        <v>658895.93387096771</v>
      </c>
      <c r="J17" s="55">
        <v>518251.71833333338</v>
      </c>
      <c r="K17" s="55">
        <v>180674.90370370372</v>
      </c>
      <c r="L17" s="54">
        <v>337993.31107142859</v>
      </c>
      <c r="M17" s="54">
        <v>153185.92272727273</v>
      </c>
      <c r="N17" s="54">
        <v>143209.36862068967</v>
      </c>
      <c r="O17" s="54">
        <v>41755.167419354846</v>
      </c>
      <c r="P17" s="54">
        <v>23355.629032258064</v>
      </c>
      <c r="Q17" s="54">
        <v>68859.258064516136</v>
      </c>
      <c r="R17" s="54">
        <v>30702.75</v>
      </c>
      <c r="S17" s="54">
        <v>115711.83333333333</v>
      </c>
      <c r="T17" s="54">
        <v>69915.425000000003</v>
      </c>
      <c r="U17" s="54">
        <v>51669.45888888889</v>
      </c>
      <c r="V17" s="54">
        <v>177523</v>
      </c>
      <c r="W17" s="54">
        <v>13372.74</v>
      </c>
      <c r="X17" s="54">
        <v>32873.362500000003</v>
      </c>
      <c r="Y17" s="54">
        <v>513133.53656249994</v>
      </c>
      <c r="Z17" s="54">
        <v>377310.99531250005</v>
      </c>
      <c r="AA17" s="54">
        <v>890444.5318750001</v>
      </c>
      <c r="AB17" s="54">
        <v>8.4716216216216207</v>
      </c>
      <c r="AC17" s="54">
        <v>6.0189189189189189</v>
      </c>
      <c r="AD17" s="54">
        <v>3.2410714285714284</v>
      </c>
      <c r="AE17" s="54">
        <v>506626.39920000004</v>
      </c>
      <c r="AF17" s="54">
        <v>357700.67571428569</v>
      </c>
      <c r="AG17" s="54">
        <v>185809.21071428573</v>
      </c>
      <c r="AH17" s="54">
        <v>218884.81978260871</v>
      </c>
      <c r="AI17" s="54">
        <v>102236.50937499999</v>
      </c>
      <c r="AJ17" s="54">
        <v>107951.91428571429</v>
      </c>
      <c r="AK17" s="54">
        <v>38492.880000000005</v>
      </c>
      <c r="AL17" s="54">
        <v>18903.348000000002</v>
      </c>
      <c r="AM17" s="54">
        <v>48396.648000000001</v>
      </c>
      <c r="AN17" s="54">
        <v>41015.649999999994</v>
      </c>
      <c r="AO17" s="54">
        <v>173323.45733333335</v>
      </c>
      <c r="AP17" s="54">
        <v>47006.517857142855</v>
      </c>
      <c r="AQ17" s="54">
        <v>38085.548461538463</v>
      </c>
      <c r="AR17" s="54">
        <v>121145.11111111111</v>
      </c>
      <c r="AS17" s="54">
        <v>220.74</v>
      </c>
      <c r="AT17" s="54">
        <v>22520.766875000001</v>
      </c>
      <c r="AU17" s="54">
        <v>387710.28823529411</v>
      </c>
      <c r="AV17" s="54">
        <v>251234.2737254902</v>
      </c>
      <c r="AW17" s="54">
        <v>638944.56196078437</v>
      </c>
      <c r="AX17" s="54">
        <v>7.6517857142857144</v>
      </c>
      <c r="AY17" s="54">
        <v>5.35</v>
      </c>
      <c r="AZ17" s="54">
        <v>2.9184782608695654</v>
      </c>
      <c r="BA17" s="54" t="s">
        <v>342</v>
      </c>
    </row>
    <row r="18" spans="1:54" x14ac:dyDescent="0.25">
      <c r="A18" s="54">
        <v>2901</v>
      </c>
      <c r="B18" s="54">
        <v>2020</v>
      </c>
      <c r="C18" s="88" t="s">
        <v>82</v>
      </c>
      <c r="D18" s="54" t="s">
        <v>7</v>
      </c>
      <c r="E18" s="54" t="s">
        <v>77</v>
      </c>
      <c r="F18" s="54" t="str">
        <f>_xlfn.CONCAT(Table13[[#This Row],[Geographic Scope]],": ",Table13[[#This Row],[Sub-Type/Focus]])</f>
        <v>Local: General</v>
      </c>
      <c r="G18" s="54" t="str">
        <f>_xlfn.CONCAT(Table13[[#This Row],[Geographic Scope]],": ",Table13[[#This Row],[Sub-Type/Focus]],": ",Table13[[#This Row],[Content Type]])</f>
        <v>Local: General: Current News &amp; Events</v>
      </c>
      <c r="H18" s="54" t="str">
        <f>_xlfn.CONCAT(Table13[[#This Row],[Geographic Scope]],": ",Table13[[#This Row],[Content Type]])</f>
        <v>Local: Current News &amp; Events</v>
      </c>
      <c r="I18" s="55">
        <v>658895.93387096771</v>
      </c>
      <c r="J18" s="55">
        <v>518251.71833333338</v>
      </c>
      <c r="K18" s="55">
        <v>180674.90370370372</v>
      </c>
      <c r="L18" s="54">
        <v>337993.31107142859</v>
      </c>
      <c r="M18" s="54">
        <v>153185.92272727273</v>
      </c>
      <c r="N18" s="54">
        <v>143209.36862068967</v>
      </c>
      <c r="O18" s="54">
        <v>41755.167419354846</v>
      </c>
      <c r="P18" s="54">
        <v>23355.629032258064</v>
      </c>
      <c r="Q18" s="54">
        <v>68859.258064516136</v>
      </c>
      <c r="R18" s="54">
        <v>30702.75</v>
      </c>
      <c r="S18" s="54">
        <v>115711.83333333333</v>
      </c>
      <c r="T18" s="54">
        <v>69915.425000000003</v>
      </c>
      <c r="U18" s="54">
        <v>51669.45888888889</v>
      </c>
      <c r="V18" s="54">
        <v>177523</v>
      </c>
      <c r="W18" s="54">
        <v>13372.74</v>
      </c>
      <c r="X18" s="54">
        <v>32873.362500000003</v>
      </c>
      <c r="Y18" s="54">
        <v>513133.53656249994</v>
      </c>
      <c r="Z18" s="54">
        <v>377310.99531250005</v>
      </c>
      <c r="AA18" s="54">
        <v>890444.5318750001</v>
      </c>
      <c r="AB18" s="54">
        <v>8.4716216216216207</v>
      </c>
      <c r="AC18" s="54">
        <v>6.0189189189189189</v>
      </c>
      <c r="AD18" s="54">
        <v>3.2410714285714284</v>
      </c>
      <c r="AE18" s="54">
        <v>506626.39920000004</v>
      </c>
      <c r="AF18" s="54">
        <v>357700.67571428569</v>
      </c>
      <c r="AG18" s="54">
        <v>185809.21071428573</v>
      </c>
      <c r="AH18" s="54">
        <v>218884.81978260871</v>
      </c>
      <c r="AI18" s="54">
        <v>102236.50937499999</v>
      </c>
      <c r="AJ18" s="54">
        <v>107951.91428571429</v>
      </c>
      <c r="AK18" s="54">
        <v>38492.880000000005</v>
      </c>
      <c r="AL18" s="54">
        <v>18903.348000000002</v>
      </c>
      <c r="AM18" s="54">
        <v>48396.648000000001</v>
      </c>
      <c r="AN18" s="54">
        <v>41015.649999999994</v>
      </c>
      <c r="AO18" s="54">
        <v>173323.45733333335</v>
      </c>
      <c r="AP18" s="54">
        <v>47006.517857142855</v>
      </c>
      <c r="AQ18" s="54">
        <v>38085.548461538463</v>
      </c>
      <c r="AR18" s="54">
        <v>121145.11111111111</v>
      </c>
      <c r="AS18" s="54">
        <v>220.74</v>
      </c>
      <c r="AT18" s="54">
        <v>22520.766875000001</v>
      </c>
      <c r="AU18" s="54">
        <v>387710.28823529411</v>
      </c>
      <c r="AV18" s="54">
        <v>251234.2737254902</v>
      </c>
      <c r="AW18" s="54">
        <v>638944.56196078437</v>
      </c>
      <c r="AX18" s="54">
        <v>7.6517857142857144</v>
      </c>
      <c r="AY18" s="54">
        <v>5.35</v>
      </c>
      <c r="AZ18" s="54">
        <v>2.9184782608695654</v>
      </c>
      <c r="BA18" s="54" t="s">
        <v>342</v>
      </c>
    </row>
    <row r="19" spans="1:54" x14ac:dyDescent="0.25">
      <c r="A19" s="54">
        <v>2935</v>
      </c>
      <c r="B19" s="54">
        <v>2013</v>
      </c>
      <c r="C19" s="88" t="s">
        <v>82</v>
      </c>
      <c r="D19" s="54" t="s">
        <v>7</v>
      </c>
      <c r="E19" s="54" t="s">
        <v>77</v>
      </c>
      <c r="F19" s="54" t="str">
        <f>_xlfn.CONCAT(Table13[[#This Row],[Geographic Scope]],": ",Table13[[#This Row],[Sub-Type/Focus]])</f>
        <v>Local: General</v>
      </c>
      <c r="G19" s="54" t="str">
        <f>_xlfn.CONCAT(Table13[[#This Row],[Geographic Scope]],": ",Table13[[#This Row],[Sub-Type/Focus]],": ",Table13[[#This Row],[Content Type]])</f>
        <v>Local: General: Current News &amp; Events</v>
      </c>
      <c r="H19" s="54" t="str">
        <f>_xlfn.CONCAT(Table13[[#This Row],[Geographic Scope]],": ",Table13[[#This Row],[Content Type]])</f>
        <v>Local: Current News &amp; Events</v>
      </c>
      <c r="I19" s="55">
        <v>658895.93387096771</v>
      </c>
      <c r="J19" s="55">
        <v>518251.71833333338</v>
      </c>
      <c r="K19" s="55">
        <v>180674.90370370372</v>
      </c>
      <c r="L19" s="54">
        <v>337993.31107142859</v>
      </c>
      <c r="M19" s="54">
        <v>153185.92272727273</v>
      </c>
      <c r="N19" s="54">
        <v>143209.36862068967</v>
      </c>
      <c r="O19" s="54">
        <v>41755.167419354846</v>
      </c>
      <c r="P19" s="54">
        <v>23355.629032258064</v>
      </c>
      <c r="Q19" s="54">
        <v>68859.258064516136</v>
      </c>
      <c r="R19" s="54">
        <v>30702.75</v>
      </c>
      <c r="S19" s="54">
        <v>115711.83333333333</v>
      </c>
      <c r="T19" s="54">
        <v>69915.425000000003</v>
      </c>
      <c r="U19" s="54">
        <v>51669.45888888889</v>
      </c>
      <c r="V19" s="54">
        <v>177523</v>
      </c>
      <c r="W19" s="54">
        <v>13372.74</v>
      </c>
      <c r="X19" s="54">
        <v>32873.362500000003</v>
      </c>
      <c r="Y19" s="54">
        <v>513133.53656249994</v>
      </c>
      <c r="Z19" s="54">
        <v>377310.99531250005</v>
      </c>
      <c r="AA19" s="54">
        <v>890444.5318750001</v>
      </c>
      <c r="AB19" s="54">
        <v>8.4716216216216207</v>
      </c>
      <c r="AC19" s="54">
        <v>6.0189189189189189</v>
      </c>
      <c r="AD19" s="54">
        <v>3.2410714285714284</v>
      </c>
      <c r="AE19" s="54">
        <v>506626.39920000004</v>
      </c>
      <c r="AF19" s="54">
        <v>357700.67571428569</v>
      </c>
      <c r="AG19" s="54">
        <v>185809.21071428573</v>
      </c>
      <c r="AH19" s="54">
        <v>218884.81978260871</v>
      </c>
      <c r="AI19" s="54">
        <v>102236.50937499999</v>
      </c>
      <c r="AJ19" s="54">
        <v>107951.91428571429</v>
      </c>
      <c r="AK19" s="54">
        <v>38492.880000000005</v>
      </c>
      <c r="AL19" s="54">
        <v>18903.348000000002</v>
      </c>
      <c r="AM19" s="54">
        <v>48396.648000000001</v>
      </c>
      <c r="AN19" s="54">
        <v>41015.649999999994</v>
      </c>
      <c r="AO19" s="54">
        <v>173323.45733333335</v>
      </c>
      <c r="AP19" s="54">
        <v>47006.517857142855</v>
      </c>
      <c r="AQ19" s="54">
        <v>38085.548461538463</v>
      </c>
      <c r="AR19" s="54">
        <v>121145.11111111111</v>
      </c>
      <c r="AS19" s="54">
        <v>220.74</v>
      </c>
      <c r="AT19" s="54">
        <v>22520.766875000001</v>
      </c>
      <c r="AU19" s="54">
        <v>387710.28823529411</v>
      </c>
      <c r="AV19" s="54">
        <v>251234.2737254902</v>
      </c>
      <c r="AW19" s="54">
        <v>638944.56196078437</v>
      </c>
      <c r="AX19" s="54">
        <v>7.6517857142857144</v>
      </c>
      <c r="AY19" s="54">
        <v>5.35</v>
      </c>
      <c r="AZ19" s="54">
        <v>2.9184782608695654</v>
      </c>
      <c r="BA19" s="54" t="s">
        <v>339</v>
      </c>
      <c r="BB19" s="54" t="s">
        <v>342</v>
      </c>
    </row>
    <row r="20" spans="1:54" x14ac:dyDescent="0.25">
      <c r="A20" s="54">
        <v>2939</v>
      </c>
      <c r="B20" s="54">
        <v>2018</v>
      </c>
      <c r="C20" s="88" t="s">
        <v>82</v>
      </c>
      <c r="D20" s="54" t="s">
        <v>7</v>
      </c>
      <c r="E20" s="54" t="s">
        <v>77</v>
      </c>
      <c r="F20" s="54" t="str">
        <f>_xlfn.CONCAT(Table13[[#This Row],[Geographic Scope]],": ",Table13[[#This Row],[Sub-Type/Focus]])</f>
        <v>Local: General</v>
      </c>
      <c r="G20" s="54" t="str">
        <f>_xlfn.CONCAT(Table13[[#This Row],[Geographic Scope]],": ",Table13[[#This Row],[Sub-Type/Focus]],": ",Table13[[#This Row],[Content Type]])</f>
        <v>Local: General: Current News &amp; Events</v>
      </c>
      <c r="H20" s="54" t="str">
        <f>_xlfn.CONCAT(Table13[[#This Row],[Geographic Scope]],": ",Table13[[#This Row],[Content Type]])</f>
        <v>Local: Current News &amp; Events</v>
      </c>
      <c r="I20" s="55">
        <v>658895.93387096771</v>
      </c>
      <c r="J20" s="55">
        <v>518251.71833333338</v>
      </c>
      <c r="K20" s="55">
        <v>180674.90370370372</v>
      </c>
      <c r="L20" s="54">
        <v>337993.31107142859</v>
      </c>
      <c r="M20" s="54">
        <v>153185.92272727273</v>
      </c>
      <c r="N20" s="54">
        <v>143209.36862068967</v>
      </c>
      <c r="O20" s="54">
        <v>41755.167419354846</v>
      </c>
      <c r="P20" s="54">
        <v>23355.629032258064</v>
      </c>
      <c r="Q20" s="54">
        <v>68859.258064516136</v>
      </c>
      <c r="R20" s="54">
        <v>30702.75</v>
      </c>
      <c r="S20" s="54">
        <v>115711.83333333333</v>
      </c>
      <c r="T20" s="54">
        <v>69915.425000000003</v>
      </c>
      <c r="U20" s="54">
        <v>51669.45888888889</v>
      </c>
      <c r="V20" s="54">
        <v>177523</v>
      </c>
      <c r="W20" s="54">
        <v>13372.74</v>
      </c>
      <c r="X20" s="54">
        <v>32873.362500000003</v>
      </c>
      <c r="Y20" s="54">
        <v>513133.53656249994</v>
      </c>
      <c r="Z20" s="54">
        <v>377310.99531250005</v>
      </c>
      <c r="AA20" s="54">
        <v>890444.5318750001</v>
      </c>
      <c r="AB20" s="54">
        <v>8.4716216216216207</v>
      </c>
      <c r="AC20" s="54">
        <v>6.0189189189189189</v>
      </c>
      <c r="AD20" s="54">
        <v>3.2410714285714284</v>
      </c>
      <c r="AE20" s="54">
        <v>506626.39920000004</v>
      </c>
      <c r="AF20" s="54">
        <v>357700.67571428569</v>
      </c>
      <c r="AG20" s="54">
        <v>185809.21071428573</v>
      </c>
      <c r="AH20" s="54">
        <v>218884.81978260871</v>
      </c>
      <c r="AI20" s="54">
        <v>102236.50937499999</v>
      </c>
      <c r="AJ20" s="54">
        <v>107951.91428571429</v>
      </c>
      <c r="AK20" s="54">
        <v>38492.880000000005</v>
      </c>
      <c r="AL20" s="54">
        <v>18903.348000000002</v>
      </c>
      <c r="AM20" s="54">
        <v>48396.648000000001</v>
      </c>
      <c r="AN20" s="54">
        <v>41015.649999999994</v>
      </c>
      <c r="AO20" s="54">
        <v>173323.45733333335</v>
      </c>
      <c r="AP20" s="54">
        <v>47006.517857142855</v>
      </c>
      <c r="AQ20" s="54">
        <v>38085.548461538463</v>
      </c>
      <c r="AR20" s="54">
        <v>121145.11111111111</v>
      </c>
      <c r="AS20" s="54">
        <v>220.74</v>
      </c>
      <c r="AT20" s="54">
        <v>22520.766875000001</v>
      </c>
      <c r="AU20" s="54">
        <v>387710.28823529411</v>
      </c>
      <c r="AV20" s="54">
        <v>251234.2737254902</v>
      </c>
      <c r="AW20" s="54">
        <v>638944.56196078437</v>
      </c>
      <c r="AX20" s="54">
        <v>7.6517857142857144</v>
      </c>
      <c r="AY20" s="54">
        <v>5.35</v>
      </c>
      <c r="AZ20" s="54">
        <v>2.9184782608695654</v>
      </c>
      <c r="BA20" s="54" t="s">
        <v>342</v>
      </c>
    </row>
    <row r="21" spans="1:54" x14ac:dyDescent="0.25">
      <c r="A21" s="54">
        <v>2941</v>
      </c>
      <c r="B21" s="54">
        <v>2015</v>
      </c>
      <c r="C21" s="88" t="s">
        <v>82</v>
      </c>
      <c r="D21" s="54" t="s">
        <v>7</v>
      </c>
      <c r="E21" s="54" t="s">
        <v>77</v>
      </c>
      <c r="F21" s="54" t="str">
        <f>_xlfn.CONCAT(Table13[[#This Row],[Geographic Scope]],": ",Table13[[#This Row],[Sub-Type/Focus]])</f>
        <v>Local: General</v>
      </c>
      <c r="G21" s="54" t="str">
        <f>_xlfn.CONCAT(Table13[[#This Row],[Geographic Scope]],": ",Table13[[#This Row],[Sub-Type/Focus]],": ",Table13[[#This Row],[Content Type]])</f>
        <v>Local: General: Current News &amp; Events</v>
      </c>
      <c r="H21" s="54" t="str">
        <f>_xlfn.CONCAT(Table13[[#This Row],[Geographic Scope]],": ",Table13[[#This Row],[Content Type]])</f>
        <v>Local: Current News &amp; Events</v>
      </c>
      <c r="I21" s="55">
        <v>658895.93387096771</v>
      </c>
      <c r="J21" s="55">
        <v>518251.71833333338</v>
      </c>
      <c r="K21" s="55">
        <v>180674.90370370372</v>
      </c>
      <c r="L21" s="54">
        <v>337993.31107142859</v>
      </c>
      <c r="M21" s="54">
        <v>153185.92272727273</v>
      </c>
      <c r="N21" s="54">
        <v>143209.36862068967</v>
      </c>
      <c r="O21" s="54">
        <v>41755.167419354846</v>
      </c>
      <c r="P21" s="54">
        <v>23355.629032258064</v>
      </c>
      <c r="Q21" s="54">
        <v>68859.258064516136</v>
      </c>
      <c r="R21" s="54">
        <v>30702.75</v>
      </c>
      <c r="S21" s="54">
        <v>115711.83333333333</v>
      </c>
      <c r="T21" s="54">
        <v>69915.425000000003</v>
      </c>
      <c r="U21" s="54">
        <v>51669.45888888889</v>
      </c>
      <c r="V21" s="54">
        <v>177523</v>
      </c>
      <c r="W21" s="54">
        <v>13372.74</v>
      </c>
      <c r="X21" s="54">
        <v>32873.362500000003</v>
      </c>
      <c r="Y21" s="54">
        <v>513133.53656249994</v>
      </c>
      <c r="Z21" s="54">
        <v>377310.99531250005</v>
      </c>
      <c r="AA21" s="54">
        <v>890444.5318750001</v>
      </c>
      <c r="AB21" s="54">
        <v>8.4716216216216207</v>
      </c>
      <c r="AC21" s="54">
        <v>6.0189189189189189</v>
      </c>
      <c r="AD21" s="54">
        <v>3.2410714285714284</v>
      </c>
      <c r="AE21" s="54">
        <v>506626.39920000004</v>
      </c>
      <c r="AF21" s="54">
        <v>357700.67571428569</v>
      </c>
      <c r="AG21" s="54">
        <v>185809.21071428573</v>
      </c>
      <c r="AH21" s="54">
        <v>218884.81978260871</v>
      </c>
      <c r="AI21" s="54">
        <v>102236.50937499999</v>
      </c>
      <c r="AJ21" s="54">
        <v>107951.91428571429</v>
      </c>
      <c r="AK21" s="54">
        <v>38492.880000000005</v>
      </c>
      <c r="AL21" s="54">
        <v>18903.348000000002</v>
      </c>
      <c r="AM21" s="54">
        <v>48396.648000000001</v>
      </c>
      <c r="AN21" s="54">
        <v>41015.649999999994</v>
      </c>
      <c r="AO21" s="54">
        <v>173323.45733333335</v>
      </c>
      <c r="AP21" s="54">
        <v>47006.517857142855</v>
      </c>
      <c r="AQ21" s="54">
        <v>38085.548461538463</v>
      </c>
      <c r="AR21" s="54">
        <v>121145.11111111111</v>
      </c>
      <c r="AS21" s="54">
        <v>220.74</v>
      </c>
      <c r="AT21" s="54">
        <v>22520.766875000001</v>
      </c>
      <c r="AU21" s="54">
        <v>387710.28823529411</v>
      </c>
      <c r="AV21" s="54">
        <v>251234.2737254902</v>
      </c>
      <c r="AW21" s="54">
        <v>638944.56196078437</v>
      </c>
      <c r="AX21" s="54">
        <v>7.6517857142857144</v>
      </c>
      <c r="AY21" s="54">
        <v>5.35</v>
      </c>
      <c r="AZ21" s="54">
        <v>2.9184782608695654</v>
      </c>
      <c r="BA21" s="54" t="s">
        <v>339</v>
      </c>
      <c r="BB21" s="54" t="s">
        <v>342</v>
      </c>
    </row>
    <row r="22" spans="1:54" x14ac:dyDescent="0.25">
      <c r="A22" s="54">
        <v>3065</v>
      </c>
      <c r="B22" s="54">
        <v>2020</v>
      </c>
      <c r="C22" s="88" t="s">
        <v>82</v>
      </c>
      <c r="D22" s="54" t="s">
        <v>7</v>
      </c>
      <c r="E22" s="54" t="s">
        <v>77</v>
      </c>
      <c r="F22" s="54" t="str">
        <f>_xlfn.CONCAT(Table13[[#This Row],[Geographic Scope]],": ",Table13[[#This Row],[Sub-Type/Focus]])</f>
        <v>Local: General</v>
      </c>
      <c r="G22" s="54" t="str">
        <f>_xlfn.CONCAT(Table13[[#This Row],[Geographic Scope]],": ",Table13[[#This Row],[Sub-Type/Focus]],": ",Table13[[#This Row],[Content Type]])</f>
        <v>Local: General: Current News &amp; Events</v>
      </c>
      <c r="H22" s="54" t="str">
        <f>_xlfn.CONCAT(Table13[[#This Row],[Geographic Scope]],": ",Table13[[#This Row],[Content Type]])</f>
        <v>Local: Current News &amp; Events</v>
      </c>
      <c r="I22" s="55">
        <v>658895.93387096771</v>
      </c>
      <c r="J22" s="55">
        <v>518251.71833333338</v>
      </c>
      <c r="K22" s="55">
        <v>180674.90370370372</v>
      </c>
      <c r="L22" s="54">
        <v>337993.31107142859</v>
      </c>
      <c r="M22" s="54">
        <v>153185.92272727273</v>
      </c>
      <c r="N22" s="54">
        <v>143209.36862068967</v>
      </c>
      <c r="O22" s="54">
        <v>41755.167419354846</v>
      </c>
      <c r="P22" s="54">
        <v>23355.629032258064</v>
      </c>
      <c r="Q22" s="54">
        <v>68859.258064516136</v>
      </c>
      <c r="R22" s="54">
        <v>30702.75</v>
      </c>
      <c r="S22" s="54">
        <v>115711.83333333333</v>
      </c>
      <c r="T22" s="54">
        <v>69915.425000000003</v>
      </c>
      <c r="U22" s="54">
        <v>51669.45888888889</v>
      </c>
      <c r="V22" s="54">
        <v>177523</v>
      </c>
      <c r="W22" s="54">
        <v>13372.74</v>
      </c>
      <c r="X22" s="54">
        <v>32873.362500000003</v>
      </c>
      <c r="Y22" s="54">
        <v>513133.53656249994</v>
      </c>
      <c r="Z22" s="54">
        <v>377310.99531250005</v>
      </c>
      <c r="AA22" s="54">
        <v>890444.5318750001</v>
      </c>
      <c r="AB22" s="54">
        <v>8.4716216216216207</v>
      </c>
      <c r="AC22" s="54">
        <v>6.0189189189189189</v>
      </c>
      <c r="AD22" s="54">
        <v>3.2410714285714284</v>
      </c>
      <c r="AE22" s="54">
        <v>506626.39920000004</v>
      </c>
      <c r="AF22" s="54">
        <v>357700.67571428569</v>
      </c>
      <c r="AG22" s="54">
        <v>185809.21071428573</v>
      </c>
      <c r="AH22" s="54">
        <v>218884.81978260871</v>
      </c>
      <c r="AI22" s="54">
        <v>102236.50937499999</v>
      </c>
      <c r="AJ22" s="54">
        <v>107951.91428571429</v>
      </c>
      <c r="AK22" s="54">
        <v>38492.880000000005</v>
      </c>
      <c r="AL22" s="54">
        <v>18903.348000000002</v>
      </c>
      <c r="AM22" s="54">
        <v>48396.648000000001</v>
      </c>
      <c r="AN22" s="54">
        <v>41015.649999999994</v>
      </c>
      <c r="AO22" s="54">
        <v>173323.45733333335</v>
      </c>
      <c r="AP22" s="54">
        <v>47006.517857142855</v>
      </c>
      <c r="AQ22" s="54">
        <v>38085.548461538463</v>
      </c>
      <c r="AR22" s="54">
        <v>121145.11111111111</v>
      </c>
      <c r="AS22" s="54">
        <v>220.74</v>
      </c>
      <c r="AT22" s="54">
        <v>22520.766875000001</v>
      </c>
      <c r="AU22" s="54">
        <v>387710.28823529411</v>
      </c>
      <c r="AV22" s="54">
        <v>251234.2737254902</v>
      </c>
      <c r="AW22" s="54">
        <v>638944.56196078437</v>
      </c>
      <c r="AX22" s="54">
        <v>7.6517857142857144</v>
      </c>
      <c r="AY22" s="54">
        <v>5.35</v>
      </c>
      <c r="AZ22" s="54">
        <v>2.9184782608695654</v>
      </c>
      <c r="BA22" s="54" t="s">
        <v>339</v>
      </c>
      <c r="BB22" s="54" t="s">
        <v>340</v>
      </c>
    </row>
    <row r="23" spans="1:54" x14ac:dyDescent="0.25">
      <c r="A23" s="54">
        <v>6802</v>
      </c>
      <c r="B23" s="54">
        <v>1994</v>
      </c>
      <c r="C23" s="88" t="s">
        <v>82</v>
      </c>
      <c r="D23" s="54" t="s">
        <v>7</v>
      </c>
      <c r="E23" s="54" t="s">
        <v>77</v>
      </c>
      <c r="F23" s="54" t="str">
        <f>_xlfn.CONCAT(Table13[[#This Row],[Geographic Scope]],": ",Table13[[#This Row],[Sub-Type/Focus]])</f>
        <v>Local: General</v>
      </c>
      <c r="G23" s="54" t="str">
        <f>_xlfn.CONCAT(Table13[[#This Row],[Geographic Scope]],": ",Table13[[#This Row],[Sub-Type/Focus]],": ",Table13[[#This Row],[Content Type]])</f>
        <v>Local: General: Current News &amp; Events</v>
      </c>
      <c r="H23" s="54" t="str">
        <f>_xlfn.CONCAT(Table13[[#This Row],[Geographic Scope]],": ",Table13[[#This Row],[Content Type]])</f>
        <v>Local: Current News &amp; Events</v>
      </c>
      <c r="I23" s="55">
        <v>658895.93387096771</v>
      </c>
      <c r="J23" s="55">
        <v>518251.71833333338</v>
      </c>
      <c r="K23" s="55">
        <v>180674.90370370372</v>
      </c>
      <c r="L23" s="54">
        <v>337993.31107142859</v>
      </c>
      <c r="M23" s="54">
        <v>153185.92272727273</v>
      </c>
      <c r="N23" s="54">
        <v>143209.36862068967</v>
      </c>
      <c r="O23" s="54">
        <v>41755.167419354846</v>
      </c>
      <c r="P23" s="54">
        <v>23355.629032258064</v>
      </c>
      <c r="Q23" s="54">
        <v>68859.258064516136</v>
      </c>
      <c r="R23" s="54">
        <v>30702.75</v>
      </c>
      <c r="S23" s="54">
        <v>115711.83333333333</v>
      </c>
      <c r="T23" s="54">
        <v>69915.425000000003</v>
      </c>
      <c r="U23" s="54">
        <v>51669.45888888889</v>
      </c>
      <c r="V23" s="54">
        <v>177523</v>
      </c>
      <c r="W23" s="54">
        <v>13372.74</v>
      </c>
      <c r="X23" s="54">
        <v>32873.362500000003</v>
      </c>
      <c r="Y23" s="54">
        <v>513133.53656249994</v>
      </c>
      <c r="Z23" s="54">
        <v>377310.99531250005</v>
      </c>
      <c r="AA23" s="54">
        <v>890444.5318750001</v>
      </c>
      <c r="AB23" s="54">
        <v>8.4716216216216207</v>
      </c>
      <c r="AC23" s="54">
        <v>6.0189189189189189</v>
      </c>
      <c r="AD23" s="54">
        <v>3.2410714285714284</v>
      </c>
      <c r="AE23" s="54">
        <v>506626.39920000004</v>
      </c>
      <c r="AF23" s="54">
        <v>357700.67571428569</v>
      </c>
      <c r="AG23" s="54">
        <v>185809.21071428573</v>
      </c>
      <c r="AH23" s="54">
        <v>218884.81978260871</v>
      </c>
      <c r="AI23" s="54">
        <v>102236.50937499999</v>
      </c>
      <c r="AJ23" s="54">
        <v>107951.91428571429</v>
      </c>
      <c r="AK23" s="54">
        <v>38492.880000000005</v>
      </c>
      <c r="AL23" s="54">
        <v>18903.348000000002</v>
      </c>
      <c r="AM23" s="54">
        <v>48396.648000000001</v>
      </c>
      <c r="AN23" s="54">
        <v>41015.649999999994</v>
      </c>
      <c r="AO23" s="54">
        <v>173323.45733333335</v>
      </c>
      <c r="AP23" s="54">
        <v>47006.517857142855</v>
      </c>
      <c r="AQ23" s="54">
        <v>38085.548461538463</v>
      </c>
      <c r="AR23" s="54">
        <v>121145.11111111111</v>
      </c>
      <c r="AS23" s="54">
        <v>220.74</v>
      </c>
      <c r="AT23" s="54">
        <v>22520.766875000001</v>
      </c>
      <c r="AU23" s="54">
        <v>387710.28823529411</v>
      </c>
      <c r="AV23" s="54">
        <v>251234.2737254902</v>
      </c>
      <c r="AW23" s="54">
        <v>638944.56196078437</v>
      </c>
      <c r="AX23" s="54">
        <v>7.6517857142857144</v>
      </c>
      <c r="AY23" s="54">
        <v>5.35</v>
      </c>
      <c r="AZ23" s="54">
        <v>2.9184782608695654</v>
      </c>
      <c r="BA23" s="54" t="s">
        <v>339</v>
      </c>
      <c r="BB23" s="54" t="s">
        <v>342</v>
      </c>
    </row>
    <row r="24" spans="1:54" x14ac:dyDescent="0.25">
      <c r="A24" s="54">
        <v>6807</v>
      </c>
      <c r="B24" s="54">
        <v>1993</v>
      </c>
      <c r="C24" s="88" t="s">
        <v>82</v>
      </c>
      <c r="D24" s="54" t="s">
        <v>7</v>
      </c>
      <c r="E24" s="54" t="s">
        <v>77</v>
      </c>
      <c r="F24" s="54" t="str">
        <f>_xlfn.CONCAT(Table13[[#This Row],[Geographic Scope]],": ",Table13[[#This Row],[Sub-Type/Focus]])</f>
        <v>Local: General</v>
      </c>
      <c r="G24" s="54" t="str">
        <f>_xlfn.CONCAT(Table13[[#This Row],[Geographic Scope]],": ",Table13[[#This Row],[Sub-Type/Focus]],": ",Table13[[#This Row],[Content Type]])</f>
        <v>Local: General: Current News &amp; Events</v>
      </c>
      <c r="H24" s="54" t="str">
        <f>_xlfn.CONCAT(Table13[[#This Row],[Geographic Scope]],": ",Table13[[#This Row],[Content Type]])</f>
        <v>Local: Current News &amp; Events</v>
      </c>
      <c r="I24" s="55">
        <v>658895.93387096771</v>
      </c>
      <c r="J24" s="55">
        <v>518251.71833333338</v>
      </c>
      <c r="K24" s="55">
        <v>180674.90370370372</v>
      </c>
      <c r="L24" s="54">
        <v>337993.31107142859</v>
      </c>
      <c r="M24" s="54">
        <v>153185.92272727273</v>
      </c>
      <c r="N24" s="54">
        <v>143209.36862068967</v>
      </c>
      <c r="O24" s="54">
        <v>41755.167419354846</v>
      </c>
      <c r="P24" s="54">
        <v>23355.629032258064</v>
      </c>
      <c r="Q24" s="54">
        <v>68859.258064516136</v>
      </c>
      <c r="R24" s="54">
        <v>30702.75</v>
      </c>
      <c r="S24" s="54">
        <v>115711.83333333333</v>
      </c>
      <c r="T24" s="54">
        <v>69915.425000000003</v>
      </c>
      <c r="U24" s="54">
        <v>51669.45888888889</v>
      </c>
      <c r="V24" s="54">
        <v>177523</v>
      </c>
      <c r="W24" s="54">
        <v>13372.74</v>
      </c>
      <c r="X24" s="54">
        <v>32873.362500000003</v>
      </c>
      <c r="Y24" s="54">
        <v>513133.53656249994</v>
      </c>
      <c r="Z24" s="54">
        <v>377310.99531250005</v>
      </c>
      <c r="AA24" s="54">
        <v>890444.5318750001</v>
      </c>
      <c r="AB24" s="54">
        <v>8.4716216216216207</v>
      </c>
      <c r="AC24" s="54">
        <v>6.0189189189189189</v>
      </c>
      <c r="AD24" s="54">
        <v>3.2410714285714284</v>
      </c>
      <c r="AE24" s="54">
        <v>506626.39920000004</v>
      </c>
      <c r="AF24" s="54">
        <v>357700.67571428569</v>
      </c>
      <c r="AG24" s="54">
        <v>185809.21071428573</v>
      </c>
      <c r="AH24" s="54">
        <v>218884.81978260871</v>
      </c>
      <c r="AI24" s="54">
        <v>102236.50937499999</v>
      </c>
      <c r="AJ24" s="54">
        <v>107951.91428571429</v>
      </c>
      <c r="AK24" s="54">
        <v>38492.880000000005</v>
      </c>
      <c r="AL24" s="54">
        <v>18903.348000000002</v>
      </c>
      <c r="AM24" s="54">
        <v>48396.648000000001</v>
      </c>
      <c r="AN24" s="54">
        <v>41015.649999999994</v>
      </c>
      <c r="AO24" s="54">
        <v>173323.45733333335</v>
      </c>
      <c r="AP24" s="54">
        <v>47006.517857142855</v>
      </c>
      <c r="AQ24" s="54">
        <v>38085.548461538463</v>
      </c>
      <c r="AR24" s="54">
        <v>121145.11111111111</v>
      </c>
      <c r="AS24" s="54">
        <v>220.74</v>
      </c>
      <c r="AT24" s="54">
        <v>22520.766875000001</v>
      </c>
      <c r="AU24" s="54">
        <v>387710.28823529411</v>
      </c>
      <c r="AV24" s="54">
        <v>251234.2737254902</v>
      </c>
      <c r="AW24" s="54">
        <v>638944.56196078437</v>
      </c>
      <c r="AX24" s="54">
        <v>7.6517857142857144</v>
      </c>
      <c r="AY24" s="54">
        <v>5.35</v>
      </c>
      <c r="AZ24" s="54">
        <v>2.9184782608695654</v>
      </c>
      <c r="BA24" s="54" t="s">
        <v>343</v>
      </c>
      <c r="BB24" s="54" t="s">
        <v>352</v>
      </c>
    </row>
    <row r="25" spans="1:54" x14ac:dyDescent="0.25">
      <c r="A25" s="54">
        <v>6809</v>
      </c>
      <c r="B25" s="54">
        <v>2018</v>
      </c>
      <c r="C25" s="88" t="s">
        <v>82</v>
      </c>
      <c r="D25" s="54" t="s">
        <v>7</v>
      </c>
      <c r="E25" s="54" t="s">
        <v>77</v>
      </c>
      <c r="F25" s="54" t="str">
        <f>_xlfn.CONCAT(Table13[[#This Row],[Geographic Scope]],": ",Table13[[#This Row],[Sub-Type/Focus]])</f>
        <v>Local: General</v>
      </c>
      <c r="G25" s="54" t="str">
        <f>_xlfn.CONCAT(Table13[[#This Row],[Geographic Scope]],": ",Table13[[#This Row],[Sub-Type/Focus]],": ",Table13[[#This Row],[Content Type]])</f>
        <v>Local: General: Current News &amp; Events</v>
      </c>
      <c r="H25" s="54" t="str">
        <f>_xlfn.CONCAT(Table13[[#This Row],[Geographic Scope]],": ",Table13[[#This Row],[Content Type]])</f>
        <v>Local: Current News &amp; Events</v>
      </c>
      <c r="I25" s="55">
        <v>658895.93387096771</v>
      </c>
      <c r="J25" s="55">
        <v>518251.71833333338</v>
      </c>
      <c r="K25" s="55">
        <v>180674.90370370372</v>
      </c>
      <c r="L25" s="54">
        <v>337993.31107142859</v>
      </c>
      <c r="M25" s="54">
        <v>153185.92272727273</v>
      </c>
      <c r="N25" s="54">
        <v>143209.36862068967</v>
      </c>
      <c r="O25" s="54">
        <v>41755.167419354846</v>
      </c>
      <c r="P25" s="54">
        <v>23355.629032258064</v>
      </c>
      <c r="Q25" s="54">
        <v>68859.258064516136</v>
      </c>
      <c r="R25" s="54">
        <v>30702.75</v>
      </c>
      <c r="S25" s="54">
        <v>115711.83333333333</v>
      </c>
      <c r="T25" s="54">
        <v>69915.425000000003</v>
      </c>
      <c r="U25" s="54">
        <v>51669.45888888889</v>
      </c>
      <c r="V25" s="54">
        <v>177523</v>
      </c>
      <c r="W25" s="54">
        <v>13372.74</v>
      </c>
      <c r="X25" s="54">
        <v>32873.362500000003</v>
      </c>
      <c r="Y25" s="54">
        <v>513133.53656249994</v>
      </c>
      <c r="Z25" s="54">
        <v>377310.99531250005</v>
      </c>
      <c r="AA25" s="54">
        <v>890444.5318750001</v>
      </c>
      <c r="AB25" s="54">
        <v>8.4716216216216207</v>
      </c>
      <c r="AC25" s="54">
        <v>6.0189189189189189</v>
      </c>
      <c r="AD25" s="54">
        <v>3.2410714285714284</v>
      </c>
      <c r="AE25" s="54">
        <v>506626.39920000004</v>
      </c>
      <c r="AF25" s="54">
        <v>357700.67571428569</v>
      </c>
      <c r="AG25" s="54">
        <v>185809.21071428573</v>
      </c>
      <c r="AH25" s="54">
        <v>218884.81978260871</v>
      </c>
      <c r="AI25" s="54">
        <v>102236.50937499999</v>
      </c>
      <c r="AJ25" s="54">
        <v>107951.91428571429</v>
      </c>
      <c r="AK25" s="54">
        <v>38492.880000000005</v>
      </c>
      <c r="AL25" s="54">
        <v>18903.348000000002</v>
      </c>
      <c r="AM25" s="54">
        <v>48396.648000000001</v>
      </c>
      <c r="AN25" s="54">
        <v>41015.649999999994</v>
      </c>
      <c r="AO25" s="54">
        <v>173323.45733333335</v>
      </c>
      <c r="AP25" s="54">
        <v>47006.517857142855</v>
      </c>
      <c r="AQ25" s="54">
        <v>38085.548461538463</v>
      </c>
      <c r="AR25" s="54">
        <v>121145.11111111111</v>
      </c>
      <c r="AS25" s="54">
        <v>220.74</v>
      </c>
      <c r="AT25" s="54">
        <v>22520.766875000001</v>
      </c>
      <c r="AU25" s="54">
        <v>387710.28823529411</v>
      </c>
      <c r="AV25" s="54">
        <v>251234.2737254902</v>
      </c>
      <c r="AW25" s="54">
        <v>638944.56196078437</v>
      </c>
      <c r="AX25" s="54">
        <v>7.6517857142857144</v>
      </c>
      <c r="AY25" s="54">
        <v>5.35</v>
      </c>
      <c r="AZ25" s="54">
        <v>2.9184782608695654</v>
      </c>
      <c r="BA25" s="54" t="s">
        <v>343</v>
      </c>
      <c r="BB25" s="54" t="s">
        <v>353</v>
      </c>
    </row>
    <row r="26" spans="1:54" x14ac:dyDescent="0.25">
      <c r="A26" s="54">
        <v>6814</v>
      </c>
      <c r="B26" s="54">
        <v>2019</v>
      </c>
      <c r="C26" s="88" t="s">
        <v>82</v>
      </c>
      <c r="D26" s="54" t="s">
        <v>7</v>
      </c>
      <c r="E26" s="54" t="s">
        <v>77</v>
      </c>
      <c r="F26" s="54" t="str">
        <f>_xlfn.CONCAT(Table13[[#This Row],[Geographic Scope]],": ",Table13[[#This Row],[Sub-Type/Focus]])</f>
        <v>Local: General</v>
      </c>
      <c r="G26" s="54" t="str">
        <f>_xlfn.CONCAT(Table13[[#This Row],[Geographic Scope]],": ",Table13[[#This Row],[Sub-Type/Focus]],": ",Table13[[#This Row],[Content Type]])</f>
        <v>Local: General: Current News &amp; Events</v>
      </c>
      <c r="H26" s="54" t="str">
        <f>_xlfn.CONCAT(Table13[[#This Row],[Geographic Scope]],": ",Table13[[#This Row],[Content Type]])</f>
        <v>Local: Current News &amp; Events</v>
      </c>
      <c r="I26" s="55">
        <v>658895.93387096771</v>
      </c>
      <c r="J26" s="55">
        <v>518251.71833333338</v>
      </c>
      <c r="K26" s="55">
        <v>180674.90370370372</v>
      </c>
      <c r="L26" s="54">
        <v>337993.31107142859</v>
      </c>
      <c r="M26" s="54">
        <v>153185.92272727273</v>
      </c>
      <c r="N26" s="54">
        <v>143209.36862068967</v>
      </c>
      <c r="O26" s="54">
        <v>41755.167419354846</v>
      </c>
      <c r="P26" s="54">
        <v>23355.629032258064</v>
      </c>
      <c r="Q26" s="54">
        <v>68859.258064516136</v>
      </c>
      <c r="R26" s="54">
        <v>30702.75</v>
      </c>
      <c r="S26" s="54">
        <v>115711.83333333333</v>
      </c>
      <c r="T26" s="54">
        <v>69915.425000000003</v>
      </c>
      <c r="U26" s="54">
        <v>51669.45888888889</v>
      </c>
      <c r="V26" s="54">
        <v>177523</v>
      </c>
      <c r="W26" s="54">
        <v>13372.74</v>
      </c>
      <c r="X26" s="54">
        <v>32873.362500000003</v>
      </c>
      <c r="Y26" s="54">
        <v>513133.53656249994</v>
      </c>
      <c r="Z26" s="54">
        <v>377310.99531250005</v>
      </c>
      <c r="AA26" s="54">
        <v>890444.5318750001</v>
      </c>
      <c r="AB26" s="54">
        <v>8.4716216216216207</v>
      </c>
      <c r="AC26" s="54">
        <v>6.0189189189189189</v>
      </c>
      <c r="AD26" s="54">
        <v>3.2410714285714284</v>
      </c>
      <c r="AE26" s="54">
        <v>506626.39920000004</v>
      </c>
      <c r="AF26" s="54">
        <v>357700.67571428569</v>
      </c>
      <c r="AG26" s="54">
        <v>185809.21071428573</v>
      </c>
      <c r="AH26" s="54">
        <v>218884.81978260871</v>
      </c>
      <c r="AI26" s="54">
        <v>102236.50937499999</v>
      </c>
      <c r="AJ26" s="54">
        <v>107951.91428571429</v>
      </c>
      <c r="AK26" s="54">
        <v>38492.880000000005</v>
      </c>
      <c r="AL26" s="54">
        <v>18903.348000000002</v>
      </c>
      <c r="AM26" s="54">
        <v>48396.648000000001</v>
      </c>
      <c r="AN26" s="54">
        <v>41015.649999999994</v>
      </c>
      <c r="AO26" s="54">
        <v>173323.45733333335</v>
      </c>
      <c r="AP26" s="54">
        <v>47006.517857142855</v>
      </c>
      <c r="AQ26" s="54">
        <v>38085.548461538463</v>
      </c>
      <c r="AR26" s="54">
        <v>121145.11111111111</v>
      </c>
      <c r="AS26" s="54">
        <v>220.74</v>
      </c>
      <c r="AT26" s="54">
        <v>22520.766875000001</v>
      </c>
      <c r="AU26" s="54">
        <v>387710.28823529411</v>
      </c>
      <c r="AV26" s="54">
        <v>251234.2737254902</v>
      </c>
      <c r="AW26" s="54">
        <v>638944.56196078437</v>
      </c>
      <c r="AX26" s="54">
        <v>7.6517857142857144</v>
      </c>
      <c r="AY26" s="54">
        <v>5.35</v>
      </c>
      <c r="AZ26" s="54">
        <v>2.9184782608695654</v>
      </c>
      <c r="BA26" s="54" t="s">
        <v>339</v>
      </c>
      <c r="BB26" s="54" t="s">
        <v>342</v>
      </c>
    </row>
    <row r="27" spans="1:54" x14ac:dyDescent="0.25">
      <c r="A27" s="54">
        <v>6820</v>
      </c>
      <c r="B27" s="54">
        <v>2011</v>
      </c>
      <c r="C27" s="88" t="s">
        <v>82</v>
      </c>
      <c r="D27" s="54" t="s">
        <v>7</v>
      </c>
      <c r="E27" s="54" t="s">
        <v>77</v>
      </c>
      <c r="F27" s="54" t="str">
        <f>_xlfn.CONCAT(Table13[[#This Row],[Geographic Scope]],": ",Table13[[#This Row],[Sub-Type/Focus]])</f>
        <v>Local: General</v>
      </c>
      <c r="G27" s="54" t="str">
        <f>_xlfn.CONCAT(Table13[[#This Row],[Geographic Scope]],": ",Table13[[#This Row],[Sub-Type/Focus]],": ",Table13[[#This Row],[Content Type]])</f>
        <v>Local: General: Current News &amp; Events</v>
      </c>
      <c r="H27" s="54" t="str">
        <f>_xlfn.CONCAT(Table13[[#This Row],[Geographic Scope]],": ",Table13[[#This Row],[Content Type]])</f>
        <v>Local: Current News &amp; Events</v>
      </c>
      <c r="I27" s="55">
        <v>658895.93387096771</v>
      </c>
      <c r="J27" s="55">
        <v>518251.71833333338</v>
      </c>
      <c r="K27" s="55">
        <v>180674.90370370372</v>
      </c>
      <c r="L27" s="54">
        <v>337993.31107142859</v>
      </c>
      <c r="M27" s="54">
        <v>153185.92272727273</v>
      </c>
      <c r="N27" s="54">
        <v>143209.36862068967</v>
      </c>
      <c r="O27" s="54">
        <v>41755.167419354846</v>
      </c>
      <c r="P27" s="54">
        <v>23355.629032258064</v>
      </c>
      <c r="Q27" s="54">
        <v>68859.258064516136</v>
      </c>
      <c r="R27" s="54">
        <v>30702.75</v>
      </c>
      <c r="S27" s="54">
        <v>115711.83333333333</v>
      </c>
      <c r="T27" s="54">
        <v>69915.425000000003</v>
      </c>
      <c r="U27" s="54">
        <v>51669.45888888889</v>
      </c>
      <c r="V27" s="54">
        <v>177523</v>
      </c>
      <c r="W27" s="54">
        <v>13372.74</v>
      </c>
      <c r="X27" s="54">
        <v>32873.362500000003</v>
      </c>
      <c r="Y27" s="54">
        <v>513133.53656249994</v>
      </c>
      <c r="Z27" s="54">
        <v>377310.99531250005</v>
      </c>
      <c r="AA27" s="54">
        <v>890444.5318750001</v>
      </c>
      <c r="AB27" s="54">
        <v>8.4716216216216207</v>
      </c>
      <c r="AC27" s="54">
        <v>6.0189189189189189</v>
      </c>
      <c r="AD27" s="54">
        <v>3.2410714285714284</v>
      </c>
      <c r="AE27" s="54">
        <v>506626.39920000004</v>
      </c>
      <c r="AF27" s="54">
        <v>357700.67571428569</v>
      </c>
      <c r="AG27" s="54">
        <v>185809.21071428573</v>
      </c>
      <c r="AH27" s="54">
        <v>218884.81978260871</v>
      </c>
      <c r="AI27" s="54">
        <v>102236.50937499999</v>
      </c>
      <c r="AJ27" s="54">
        <v>107951.91428571429</v>
      </c>
      <c r="AK27" s="54">
        <v>38492.880000000005</v>
      </c>
      <c r="AL27" s="54">
        <v>18903.348000000002</v>
      </c>
      <c r="AM27" s="54">
        <v>48396.648000000001</v>
      </c>
      <c r="AN27" s="54">
        <v>41015.649999999994</v>
      </c>
      <c r="AO27" s="54">
        <v>173323.45733333335</v>
      </c>
      <c r="AP27" s="54">
        <v>47006.517857142855</v>
      </c>
      <c r="AQ27" s="54">
        <v>38085.548461538463</v>
      </c>
      <c r="AR27" s="54">
        <v>121145.11111111111</v>
      </c>
      <c r="AS27" s="54">
        <v>220.74</v>
      </c>
      <c r="AT27" s="54">
        <v>22520.766875000001</v>
      </c>
      <c r="AU27" s="54">
        <v>387710.28823529411</v>
      </c>
      <c r="AV27" s="54">
        <v>251234.2737254902</v>
      </c>
      <c r="AW27" s="54">
        <v>638944.56196078437</v>
      </c>
      <c r="AX27" s="54">
        <v>7.6517857142857144</v>
      </c>
      <c r="AY27" s="54">
        <v>5.35</v>
      </c>
      <c r="AZ27" s="54">
        <v>2.9184782608695654</v>
      </c>
      <c r="BA27" s="54" t="s">
        <v>339</v>
      </c>
      <c r="BB27" s="54" t="s">
        <v>342</v>
      </c>
    </row>
    <row r="28" spans="1:54" x14ac:dyDescent="0.25">
      <c r="A28" s="54">
        <v>6826</v>
      </c>
      <c r="B28" s="54">
        <v>2019</v>
      </c>
      <c r="C28" s="88" t="s">
        <v>82</v>
      </c>
      <c r="D28" s="54" t="s">
        <v>7</v>
      </c>
      <c r="E28" s="54" t="s">
        <v>77</v>
      </c>
      <c r="F28" s="54" t="str">
        <f>_xlfn.CONCAT(Table13[[#This Row],[Geographic Scope]],": ",Table13[[#This Row],[Sub-Type/Focus]])</f>
        <v>Local: General</v>
      </c>
      <c r="G28" s="54" t="str">
        <f>_xlfn.CONCAT(Table13[[#This Row],[Geographic Scope]],": ",Table13[[#This Row],[Sub-Type/Focus]],": ",Table13[[#This Row],[Content Type]])</f>
        <v>Local: General: Current News &amp; Events</v>
      </c>
      <c r="H28" s="54" t="str">
        <f>_xlfn.CONCAT(Table13[[#This Row],[Geographic Scope]],": ",Table13[[#This Row],[Content Type]])</f>
        <v>Local: Current News &amp; Events</v>
      </c>
      <c r="I28" s="55">
        <v>658895.93387096771</v>
      </c>
      <c r="J28" s="55">
        <v>518251.71833333338</v>
      </c>
      <c r="K28" s="55">
        <v>180674.90370370372</v>
      </c>
      <c r="L28" s="54">
        <v>337993.31107142859</v>
      </c>
      <c r="M28" s="54">
        <v>153185.92272727273</v>
      </c>
      <c r="N28" s="54">
        <v>143209.36862068967</v>
      </c>
      <c r="O28" s="54">
        <v>41755.167419354846</v>
      </c>
      <c r="P28" s="54">
        <v>23355.629032258064</v>
      </c>
      <c r="Q28" s="54">
        <v>68859.258064516136</v>
      </c>
      <c r="R28" s="54">
        <v>30702.75</v>
      </c>
      <c r="S28" s="54">
        <v>115711.83333333333</v>
      </c>
      <c r="T28" s="54">
        <v>69915.425000000003</v>
      </c>
      <c r="U28" s="54">
        <v>51669.45888888889</v>
      </c>
      <c r="V28" s="54">
        <v>177523</v>
      </c>
      <c r="W28" s="54">
        <v>13372.74</v>
      </c>
      <c r="X28" s="54">
        <v>32873.362500000003</v>
      </c>
      <c r="Y28" s="54">
        <v>513133.53656249994</v>
      </c>
      <c r="Z28" s="54">
        <v>377310.99531250005</v>
      </c>
      <c r="AA28" s="54">
        <v>890444.5318750001</v>
      </c>
      <c r="AB28" s="54">
        <v>8.4716216216216207</v>
      </c>
      <c r="AC28" s="54">
        <v>6.0189189189189189</v>
      </c>
      <c r="AD28" s="54">
        <v>3.2410714285714284</v>
      </c>
      <c r="AE28" s="54">
        <v>506626.39920000004</v>
      </c>
      <c r="AF28" s="54">
        <v>357700.67571428569</v>
      </c>
      <c r="AG28" s="54">
        <v>185809.21071428573</v>
      </c>
      <c r="AH28" s="54">
        <v>218884.81978260871</v>
      </c>
      <c r="AI28" s="54">
        <v>102236.50937499999</v>
      </c>
      <c r="AJ28" s="54">
        <v>107951.91428571429</v>
      </c>
      <c r="AK28" s="54">
        <v>38492.880000000005</v>
      </c>
      <c r="AL28" s="54">
        <v>18903.348000000002</v>
      </c>
      <c r="AM28" s="54">
        <v>48396.648000000001</v>
      </c>
      <c r="AN28" s="54">
        <v>41015.649999999994</v>
      </c>
      <c r="AO28" s="54">
        <v>173323.45733333335</v>
      </c>
      <c r="AP28" s="54">
        <v>47006.517857142855</v>
      </c>
      <c r="AQ28" s="54">
        <v>38085.548461538463</v>
      </c>
      <c r="AR28" s="54">
        <v>121145.11111111111</v>
      </c>
      <c r="AS28" s="54">
        <v>220.74</v>
      </c>
      <c r="AT28" s="54">
        <v>22520.766875000001</v>
      </c>
      <c r="AU28" s="54">
        <v>387710.28823529411</v>
      </c>
      <c r="AV28" s="54">
        <v>251234.2737254902</v>
      </c>
      <c r="AW28" s="54">
        <v>638944.56196078437</v>
      </c>
      <c r="AX28" s="54">
        <v>7.6517857142857144</v>
      </c>
      <c r="AY28" s="54">
        <v>5.35</v>
      </c>
      <c r="AZ28" s="54">
        <v>2.9184782608695654</v>
      </c>
      <c r="BA28" s="54" t="s">
        <v>342</v>
      </c>
    </row>
    <row r="29" spans="1:54" x14ac:dyDescent="0.25">
      <c r="A29" s="54">
        <v>6831</v>
      </c>
      <c r="B29" s="54">
        <v>2020</v>
      </c>
      <c r="C29" s="88" t="s">
        <v>82</v>
      </c>
      <c r="D29" s="54" t="s">
        <v>7</v>
      </c>
      <c r="E29" s="54" t="s">
        <v>77</v>
      </c>
      <c r="F29" s="54" t="str">
        <f>_xlfn.CONCAT(Table13[[#This Row],[Geographic Scope]],": ",Table13[[#This Row],[Sub-Type/Focus]])</f>
        <v>Local: General</v>
      </c>
      <c r="G29" s="54" t="str">
        <f>_xlfn.CONCAT(Table13[[#This Row],[Geographic Scope]],": ",Table13[[#This Row],[Sub-Type/Focus]],": ",Table13[[#This Row],[Content Type]])</f>
        <v>Local: General: Current News &amp; Events</v>
      </c>
      <c r="H29" s="54" t="str">
        <f>_xlfn.CONCAT(Table13[[#This Row],[Geographic Scope]],": ",Table13[[#This Row],[Content Type]])</f>
        <v>Local: Current News &amp; Events</v>
      </c>
      <c r="I29" s="55">
        <v>658895.93387096771</v>
      </c>
      <c r="J29" s="55">
        <v>518251.71833333338</v>
      </c>
      <c r="K29" s="55">
        <v>180674.90370370372</v>
      </c>
      <c r="L29" s="54">
        <v>337993.31107142859</v>
      </c>
      <c r="M29" s="54">
        <v>153185.92272727273</v>
      </c>
      <c r="N29" s="54">
        <v>143209.36862068967</v>
      </c>
      <c r="O29" s="54">
        <v>41755.167419354846</v>
      </c>
      <c r="P29" s="54">
        <v>23355.629032258064</v>
      </c>
      <c r="Q29" s="54">
        <v>68859.258064516136</v>
      </c>
      <c r="R29" s="54">
        <v>30702.75</v>
      </c>
      <c r="S29" s="54">
        <v>115711.83333333333</v>
      </c>
      <c r="T29" s="54">
        <v>69915.425000000003</v>
      </c>
      <c r="U29" s="54">
        <v>51669.45888888889</v>
      </c>
      <c r="V29" s="54">
        <v>177523</v>
      </c>
      <c r="W29" s="54">
        <v>13372.74</v>
      </c>
      <c r="X29" s="54">
        <v>32873.362500000003</v>
      </c>
      <c r="Y29" s="54">
        <v>513133.53656249994</v>
      </c>
      <c r="Z29" s="54">
        <v>377310.99531250005</v>
      </c>
      <c r="AA29" s="54">
        <v>890444.5318750001</v>
      </c>
      <c r="AB29" s="54">
        <v>8.4716216216216207</v>
      </c>
      <c r="AC29" s="54">
        <v>6.0189189189189189</v>
      </c>
      <c r="AD29" s="54">
        <v>3.2410714285714284</v>
      </c>
      <c r="AE29" s="54">
        <v>506626.39920000004</v>
      </c>
      <c r="AF29" s="54">
        <v>357700.67571428569</v>
      </c>
      <c r="AG29" s="54">
        <v>185809.21071428573</v>
      </c>
      <c r="AH29" s="54">
        <v>218884.81978260871</v>
      </c>
      <c r="AI29" s="54">
        <v>102236.50937499999</v>
      </c>
      <c r="AJ29" s="54">
        <v>107951.91428571429</v>
      </c>
      <c r="AK29" s="54">
        <v>38492.880000000005</v>
      </c>
      <c r="AL29" s="54">
        <v>18903.348000000002</v>
      </c>
      <c r="AM29" s="54">
        <v>48396.648000000001</v>
      </c>
      <c r="AN29" s="54">
        <v>41015.649999999994</v>
      </c>
      <c r="AO29" s="54">
        <v>173323.45733333335</v>
      </c>
      <c r="AP29" s="54">
        <v>47006.517857142855</v>
      </c>
      <c r="AQ29" s="54">
        <v>38085.548461538463</v>
      </c>
      <c r="AR29" s="54">
        <v>121145.11111111111</v>
      </c>
      <c r="AS29" s="54">
        <v>220.74</v>
      </c>
      <c r="AT29" s="54">
        <v>22520.766875000001</v>
      </c>
      <c r="AU29" s="54">
        <v>387710.28823529411</v>
      </c>
      <c r="AV29" s="54">
        <v>251234.2737254902</v>
      </c>
      <c r="AW29" s="54">
        <v>638944.56196078437</v>
      </c>
      <c r="AX29" s="54">
        <v>7.6517857142857144</v>
      </c>
      <c r="AY29" s="54">
        <v>5.35</v>
      </c>
      <c r="AZ29" s="54">
        <v>2.9184782608695654</v>
      </c>
      <c r="BA29" s="54" t="s">
        <v>342</v>
      </c>
    </row>
    <row r="30" spans="1:54" x14ac:dyDescent="0.25">
      <c r="A30" s="54">
        <v>6832</v>
      </c>
      <c r="B30" s="54">
        <v>2020</v>
      </c>
      <c r="C30" s="88" t="s">
        <v>82</v>
      </c>
      <c r="D30" s="54" t="s">
        <v>7</v>
      </c>
      <c r="E30" s="54" t="s">
        <v>77</v>
      </c>
      <c r="F30" s="54" t="str">
        <f>_xlfn.CONCAT(Table13[[#This Row],[Geographic Scope]],": ",Table13[[#This Row],[Sub-Type/Focus]])</f>
        <v>Local: General</v>
      </c>
      <c r="G30" s="54" t="str">
        <f>_xlfn.CONCAT(Table13[[#This Row],[Geographic Scope]],": ",Table13[[#This Row],[Sub-Type/Focus]],": ",Table13[[#This Row],[Content Type]])</f>
        <v>Local: General: Current News &amp; Events</v>
      </c>
      <c r="H30" s="54" t="str">
        <f>_xlfn.CONCAT(Table13[[#This Row],[Geographic Scope]],": ",Table13[[#This Row],[Content Type]])</f>
        <v>Local: Current News &amp; Events</v>
      </c>
      <c r="I30" s="55">
        <v>658895.93387096771</v>
      </c>
      <c r="J30" s="55">
        <v>518251.71833333338</v>
      </c>
      <c r="K30" s="55">
        <v>180674.90370370372</v>
      </c>
      <c r="L30" s="54">
        <v>337993.31107142859</v>
      </c>
      <c r="M30" s="54">
        <v>153185.92272727273</v>
      </c>
      <c r="N30" s="54">
        <v>143209.36862068967</v>
      </c>
      <c r="O30" s="54">
        <v>41755.167419354846</v>
      </c>
      <c r="P30" s="54">
        <v>23355.629032258064</v>
      </c>
      <c r="Q30" s="54">
        <v>68859.258064516136</v>
      </c>
      <c r="R30" s="54">
        <v>30702.75</v>
      </c>
      <c r="S30" s="54">
        <v>115711.83333333333</v>
      </c>
      <c r="T30" s="54">
        <v>69915.425000000003</v>
      </c>
      <c r="U30" s="54">
        <v>51669.45888888889</v>
      </c>
      <c r="V30" s="54">
        <v>177523</v>
      </c>
      <c r="W30" s="54">
        <v>13372.74</v>
      </c>
      <c r="X30" s="54">
        <v>32873.362500000003</v>
      </c>
      <c r="Y30" s="54">
        <v>513133.53656249994</v>
      </c>
      <c r="Z30" s="54">
        <v>377310.99531250005</v>
      </c>
      <c r="AA30" s="54">
        <v>890444.5318750001</v>
      </c>
      <c r="AB30" s="54">
        <v>8.4716216216216207</v>
      </c>
      <c r="AC30" s="54">
        <v>6.0189189189189189</v>
      </c>
      <c r="AD30" s="54">
        <v>3.2410714285714284</v>
      </c>
      <c r="AE30" s="54">
        <v>506626.39920000004</v>
      </c>
      <c r="AF30" s="54">
        <v>357700.67571428569</v>
      </c>
      <c r="AG30" s="54">
        <v>185809.21071428573</v>
      </c>
      <c r="AH30" s="54">
        <v>218884.81978260871</v>
      </c>
      <c r="AI30" s="54">
        <v>102236.50937499999</v>
      </c>
      <c r="AJ30" s="54">
        <v>107951.91428571429</v>
      </c>
      <c r="AK30" s="54">
        <v>38492.880000000005</v>
      </c>
      <c r="AL30" s="54">
        <v>18903.348000000002</v>
      </c>
      <c r="AM30" s="54">
        <v>48396.648000000001</v>
      </c>
      <c r="AN30" s="54">
        <v>41015.649999999994</v>
      </c>
      <c r="AO30" s="54">
        <v>173323.45733333335</v>
      </c>
      <c r="AP30" s="54">
        <v>47006.517857142855</v>
      </c>
      <c r="AQ30" s="54">
        <v>38085.548461538463</v>
      </c>
      <c r="AR30" s="54">
        <v>121145.11111111111</v>
      </c>
      <c r="AS30" s="54">
        <v>220.74</v>
      </c>
      <c r="AT30" s="54">
        <v>22520.766875000001</v>
      </c>
      <c r="AU30" s="54">
        <v>387710.28823529411</v>
      </c>
      <c r="AV30" s="54">
        <v>251234.2737254902</v>
      </c>
      <c r="AW30" s="54">
        <v>638944.56196078437</v>
      </c>
      <c r="AX30" s="54">
        <v>7.6517857142857144</v>
      </c>
      <c r="AY30" s="54">
        <v>5.35</v>
      </c>
      <c r="AZ30" s="54">
        <v>2.9184782608695654</v>
      </c>
      <c r="BA30" s="54" t="s">
        <v>342</v>
      </c>
      <c r="BB30" s="54" t="s">
        <v>349</v>
      </c>
    </row>
    <row r="31" spans="1:54" x14ac:dyDescent="0.25">
      <c r="A31" s="54">
        <v>6833</v>
      </c>
      <c r="B31" s="54">
        <v>1958</v>
      </c>
      <c r="C31" s="88" t="s">
        <v>82</v>
      </c>
      <c r="D31" s="54" t="s">
        <v>7</v>
      </c>
      <c r="E31" s="54" t="s">
        <v>77</v>
      </c>
      <c r="F31" s="54" t="str">
        <f>_xlfn.CONCAT(Table13[[#This Row],[Geographic Scope]],": ",Table13[[#This Row],[Sub-Type/Focus]])</f>
        <v>Local: General</v>
      </c>
      <c r="G31" s="54" t="str">
        <f>_xlfn.CONCAT(Table13[[#This Row],[Geographic Scope]],": ",Table13[[#This Row],[Sub-Type/Focus]],": ",Table13[[#This Row],[Content Type]])</f>
        <v>Local: General: Current News &amp; Events</v>
      </c>
      <c r="H31" s="54" t="str">
        <f>_xlfn.CONCAT(Table13[[#This Row],[Geographic Scope]],": ",Table13[[#This Row],[Content Type]])</f>
        <v>Local: Current News &amp; Events</v>
      </c>
      <c r="I31" s="55">
        <v>658895.93387096771</v>
      </c>
      <c r="J31" s="55">
        <v>518251.71833333338</v>
      </c>
      <c r="K31" s="55">
        <v>180674.90370370372</v>
      </c>
      <c r="L31" s="54">
        <v>337993.31107142859</v>
      </c>
      <c r="M31" s="54">
        <v>153185.92272727273</v>
      </c>
      <c r="N31" s="54">
        <v>143209.36862068967</v>
      </c>
      <c r="O31" s="54">
        <v>41755.167419354846</v>
      </c>
      <c r="P31" s="54">
        <v>23355.629032258064</v>
      </c>
      <c r="Q31" s="54">
        <v>68859.258064516136</v>
      </c>
      <c r="R31" s="54">
        <v>30702.75</v>
      </c>
      <c r="S31" s="54">
        <v>115711.83333333333</v>
      </c>
      <c r="T31" s="54">
        <v>69915.425000000003</v>
      </c>
      <c r="U31" s="54">
        <v>51669.45888888889</v>
      </c>
      <c r="V31" s="54">
        <v>177523</v>
      </c>
      <c r="W31" s="54">
        <v>13372.74</v>
      </c>
      <c r="X31" s="54">
        <v>32873.362500000003</v>
      </c>
      <c r="Y31" s="54">
        <v>513133.53656249994</v>
      </c>
      <c r="Z31" s="54">
        <v>377310.99531250005</v>
      </c>
      <c r="AA31" s="54">
        <v>890444.5318750001</v>
      </c>
      <c r="AB31" s="54">
        <v>8.4716216216216207</v>
      </c>
      <c r="AC31" s="54">
        <v>6.0189189189189189</v>
      </c>
      <c r="AD31" s="54">
        <v>3.2410714285714284</v>
      </c>
      <c r="AE31" s="54">
        <v>506626.39920000004</v>
      </c>
      <c r="AF31" s="54">
        <v>357700.67571428569</v>
      </c>
      <c r="AG31" s="54">
        <v>185809.21071428573</v>
      </c>
      <c r="AH31" s="54">
        <v>218884.81978260871</v>
      </c>
      <c r="AI31" s="54">
        <v>102236.50937499999</v>
      </c>
      <c r="AJ31" s="54">
        <v>107951.91428571429</v>
      </c>
      <c r="AK31" s="54">
        <v>38492.880000000005</v>
      </c>
      <c r="AL31" s="54">
        <v>18903.348000000002</v>
      </c>
      <c r="AM31" s="54">
        <v>48396.648000000001</v>
      </c>
      <c r="AN31" s="54">
        <v>41015.649999999994</v>
      </c>
      <c r="AO31" s="54">
        <v>173323.45733333335</v>
      </c>
      <c r="AP31" s="54">
        <v>47006.517857142855</v>
      </c>
      <c r="AQ31" s="54">
        <v>38085.548461538463</v>
      </c>
      <c r="AR31" s="54">
        <v>121145.11111111111</v>
      </c>
      <c r="AS31" s="54">
        <v>220.74</v>
      </c>
      <c r="AT31" s="54">
        <v>22520.766875000001</v>
      </c>
      <c r="AU31" s="54">
        <v>387710.28823529411</v>
      </c>
      <c r="AV31" s="54">
        <v>251234.2737254902</v>
      </c>
      <c r="AW31" s="54">
        <v>638944.56196078437</v>
      </c>
      <c r="AX31" s="54">
        <v>7.6517857142857144</v>
      </c>
      <c r="AY31" s="54">
        <v>5.35</v>
      </c>
      <c r="AZ31" s="54">
        <v>2.9184782608695654</v>
      </c>
      <c r="BA31" s="54" t="s">
        <v>339</v>
      </c>
      <c r="BB31" s="54" t="s">
        <v>342</v>
      </c>
    </row>
    <row r="32" spans="1:54" x14ac:dyDescent="0.25">
      <c r="A32" s="54">
        <v>6835</v>
      </c>
      <c r="B32" s="54">
        <v>2019</v>
      </c>
      <c r="C32" s="88" t="s">
        <v>82</v>
      </c>
      <c r="D32" s="54" t="s">
        <v>7</v>
      </c>
      <c r="E32" s="54" t="s">
        <v>77</v>
      </c>
      <c r="F32" s="54" t="str">
        <f>_xlfn.CONCAT(Table13[[#This Row],[Geographic Scope]],": ",Table13[[#This Row],[Sub-Type/Focus]])</f>
        <v>Local: General</v>
      </c>
      <c r="G32" s="54" t="str">
        <f>_xlfn.CONCAT(Table13[[#This Row],[Geographic Scope]],": ",Table13[[#This Row],[Sub-Type/Focus]],": ",Table13[[#This Row],[Content Type]])</f>
        <v>Local: General: Current News &amp; Events</v>
      </c>
      <c r="H32" s="54" t="str">
        <f>_xlfn.CONCAT(Table13[[#This Row],[Geographic Scope]],": ",Table13[[#This Row],[Content Type]])</f>
        <v>Local: Current News &amp; Events</v>
      </c>
      <c r="I32" s="55">
        <v>658895.93387096771</v>
      </c>
      <c r="J32" s="55">
        <v>518251.71833333338</v>
      </c>
      <c r="K32" s="55">
        <v>180674.90370370372</v>
      </c>
      <c r="L32" s="54">
        <v>337993.31107142859</v>
      </c>
      <c r="M32" s="54">
        <v>153185.92272727273</v>
      </c>
      <c r="N32" s="54">
        <v>143209.36862068967</v>
      </c>
      <c r="O32" s="54">
        <v>41755.167419354846</v>
      </c>
      <c r="P32" s="54">
        <v>23355.629032258064</v>
      </c>
      <c r="Q32" s="54">
        <v>68859.258064516136</v>
      </c>
      <c r="R32" s="54">
        <v>30702.75</v>
      </c>
      <c r="S32" s="54">
        <v>115711.83333333333</v>
      </c>
      <c r="T32" s="54">
        <v>69915.425000000003</v>
      </c>
      <c r="U32" s="54">
        <v>51669.45888888889</v>
      </c>
      <c r="V32" s="54">
        <v>177523</v>
      </c>
      <c r="W32" s="54">
        <v>13372.74</v>
      </c>
      <c r="X32" s="54">
        <v>32873.362500000003</v>
      </c>
      <c r="Y32" s="54">
        <v>513133.53656249994</v>
      </c>
      <c r="Z32" s="54">
        <v>377310.99531250005</v>
      </c>
      <c r="AA32" s="54">
        <v>890444.5318750001</v>
      </c>
      <c r="AB32" s="54">
        <v>8.4716216216216207</v>
      </c>
      <c r="AC32" s="54">
        <v>6.0189189189189189</v>
      </c>
      <c r="AD32" s="54">
        <v>3.2410714285714284</v>
      </c>
      <c r="AE32" s="54">
        <v>506626.39920000004</v>
      </c>
      <c r="AF32" s="54">
        <v>357700.67571428569</v>
      </c>
      <c r="AG32" s="54">
        <v>185809.21071428573</v>
      </c>
      <c r="AH32" s="54">
        <v>218884.81978260871</v>
      </c>
      <c r="AI32" s="54">
        <v>102236.50937499999</v>
      </c>
      <c r="AJ32" s="54">
        <v>107951.91428571429</v>
      </c>
      <c r="AK32" s="54">
        <v>38492.880000000005</v>
      </c>
      <c r="AL32" s="54">
        <v>18903.348000000002</v>
      </c>
      <c r="AM32" s="54">
        <v>48396.648000000001</v>
      </c>
      <c r="AN32" s="54">
        <v>41015.649999999994</v>
      </c>
      <c r="AO32" s="54">
        <v>173323.45733333335</v>
      </c>
      <c r="AP32" s="54">
        <v>47006.517857142855</v>
      </c>
      <c r="AQ32" s="54">
        <v>38085.548461538463</v>
      </c>
      <c r="AR32" s="54">
        <v>121145.11111111111</v>
      </c>
      <c r="AS32" s="54">
        <v>220.74</v>
      </c>
      <c r="AT32" s="54">
        <v>22520.766875000001</v>
      </c>
      <c r="AU32" s="54">
        <v>387710.28823529411</v>
      </c>
      <c r="AV32" s="54">
        <v>251234.2737254902</v>
      </c>
      <c r="AW32" s="54">
        <v>638944.56196078437</v>
      </c>
      <c r="AX32" s="54">
        <v>7.6517857142857144</v>
      </c>
      <c r="AY32" s="54">
        <v>5.35</v>
      </c>
      <c r="AZ32" s="54">
        <v>2.9184782608695654</v>
      </c>
      <c r="BA32" s="54" t="s">
        <v>339</v>
      </c>
      <c r="BB32" s="54" t="s">
        <v>342</v>
      </c>
    </row>
    <row r="33" spans="1:54" x14ac:dyDescent="0.25">
      <c r="A33" s="54">
        <v>6839</v>
      </c>
      <c r="B33" s="54">
        <v>2019</v>
      </c>
      <c r="C33" s="88" t="s">
        <v>82</v>
      </c>
      <c r="D33" s="54" t="s">
        <v>7</v>
      </c>
      <c r="E33" s="54" t="s">
        <v>77</v>
      </c>
      <c r="F33" s="54" t="str">
        <f>_xlfn.CONCAT(Table13[[#This Row],[Geographic Scope]],": ",Table13[[#This Row],[Sub-Type/Focus]])</f>
        <v>Local: General</v>
      </c>
      <c r="G33" s="54" t="str">
        <f>_xlfn.CONCAT(Table13[[#This Row],[Geographic Scope]],": ",Table13[[#This Row],[Sub-Type/Focus]],": ",Table13[[#This Row],[Content Type]])</f>
        <v>Local: General: Current News &amp; Events</v>
      </c>
      <c r="H33" s="54" t="str">
        <f>_xlfn.CONCAT(Table13[[#This Row],[Geographic Scope]],": ",Table13[[#This Row],[Content Type]])</f>
        <v>Local: Current News &amp; Events</v>
      </c>
      <c r="I33" s="55">
        <v>658895.93387096771</v>
      </c>
      <c r="J33" s="55">
        <v>518251.71833333338</v>
      </c>
      <c r="K33" s="55">
        <v>180674.90370370372</v>
      </c>
      <c r="L33" s="54">
        <v>337993.31107142859</v>
      </c>
      <c r="M33" s="54">
        <v>153185.92272727273</v>
      </c>
      <c r="N33" s="54">
        <v>143209.36862068967</v>
      </c>
      <c r="O33" s="54">
        <v>41755.167419354846</v>
      </c>
      <c r="P33" s="54">
        <v>23355.629032258064</v>
      </c>
      <c r="Q33" s="54">
        <v>68859.258064516136</v>
      </c>
      <c r="R33" s="54">
        <v>30702.75</v>
      </c>
      <c r="S33" s="54">
        <v>115711.83333333333</v>
      </c>
      <c r="T33" s="54">
        <v>69915.425000000003</v>
      </c>
      <c r="U33" s="54">
        <v>51669.45888888889</v>
      </c>
      <c r="V33" s="54">
        <v>177523</v>
      </c>
      <c r="W33" s="54">
        <v>13372.74</v>
      </c>
      <c r="X33" s="54">
        <v>32873.362500000003</v>
      </c>
      <c r="Y33" s="54">
        <v>513133.53656249994</v>
      </c>
      <c r="Z33" s="54">
        <v>377310.99531250005</v>
      </c>
      <c r="AA33" s="54">
        <v>890444.5318750001</v>
      </c>
      <c r="AB33" s="54">
        <v>8.4716216216216207</v>
      </c>
      <c r="AC33" s="54">
        <v>6.0189189189189189</v>
      </c>
      <c r="AD33" s="54">
        <v>3.2410714285714284</v>
      </c>
      <c r="AE33" s="54">
        <v>506626.39920000004</v>
      </c>
      <c r="AF33" s="54">
        <v>357700.67571428569</v>
      </c>
      <c r="AG33" s="54">
        <v>185809.21071428573</v>
      </c>
      <c r="AH33" s="54">
        <v>218884.81978260871</v>
      </c>
      <c r="AI33" s="54">
        <v>102236.50937499999</v>
      </c>
      <c r="AJ33" s="54">
        <v>107951.91428571429</v>
      </c>
      <c r="AK33" s="54">
        <v>38492.880000000005</v>
      </c>
      <c r="AL33" s="54">
        <v>18903.348000000002</v>
      </c>
      <c r="AM33" s="54">
        <v>48396.648000000001</v>
      </c>
      <c r="AN33" s="54">
        <v>41015.649999999994</v>
      </c>
      <c r="AO33" s="54">
        <v>173323.45733333335</v>
      </c>
      <c r="AP33" s="54">
        <v>47006.517857142855</v>
      </c>
      <c r="AQ33" s="54">
        <v>38085.548461538463</v>
      </c>
      <c r="AR33" s="54">
        <v>121145.11111111111</v>
      </c>
      <c r="AS33" s="54">
        <v>220.74</v>
      </c>
      <c r="AT33" s="54">
        <v>22520.766875000001</v>
      </c>
      <c r="AU33" s="54">
        <v>387710.28823529411</v>
      </c>
      <c r="AV33" s="54">
        <v>251234.2737254902</v>
      </c>
      <c r="AW33" s="54">
        <v>638944.56196078437</v>
      </c>
      <c r="AX33" s="54">
        <v>7.6517857142857144</v>
      </c>
      <c r="AY33" s="54">
        <v>5.35</v>
      </c>
      <c r="AZ33" s="54">
        <v>2.9184782608695654</v>
      </c>
      <c r="BA33" s="54" t="s">
        <v>342</v>
      </c>
      <c r="BB33" s="54" t="s">
        <v>347</v>
      </c>
    </row>
    <row r="34" spans="1:54" x14ac:dyDescent="0.25">
      <c r="A34" s="54">
        <v>470</v>
      </c>
      <c r="B34" s="54">
        <v>2010</v>
      </c>
      <c r="C34" s="88" t="s">
        <v>82</v>
      </c>
      <c r="D34" s="54" t="s">
        <v>7</v>
      </c>
      <c r="E34" s="54" t="s">
        <v>78</v>
      </c>
      <c r="F34" s="54" t="str">
        <f>_xlfn.CONCAT(Table13[[#This Row],[Geographic Scope]],": ",Table13[[#This Row],[Sub-Type/Focus]])</f>
        <v>Local: Multiple Related Topics</v>
      </c>
      <c r="G34" s="54" t="str">
        <f>_xlfn.CONCAT(Table13[[#This Row],[Geographic Scope]],": ",Table13[[#This Row],[Sub-Type/Focus]],": ",Table13[[#This Row],[Content Type]])</f>
        <v>Local: Multiple Related Topics: Current News &amp; Events</v>
      </c>
      <c r="H34" s="54" t="str">
        <f>_xlfn.CONCAT(Table13[[#This Row],[Geographic Scope]],": ",Table13[[#This Row],[Content Type]])</f>
        <v>Local: Current News &amp; Events</v>
      </c>
      <c r="I34" s="55">
        <v>658895.93387096771</v>
      </c>
      <c r="J34" s="55">
        <v>518251.71833333338</v>
      </c>
      <c r="K34" s="55">
        <v>180674.90370370372</v>
      </c>
      <c r="L34" s="54">
        <v>337993.31107142859</v>
      </c>
      <c r="M34" s="54">
        <v>153185.92272727273</v>
      </c>
      <c r="N34" s="54">
        <v>143209.36862068967</v>
      </c>
      <c r="O34" s="54">
        <v>41755.167419354846</v>
      </c>
      <c r="P34" s="54">
        <v>23355.629032258064</v>
      </c>
      <c r="Q34" s="54">
        <v>68859.258064516136</v>
      </c>
      <c r="R34" s="54">
        <v>30702.75</v>
      </c>
      <c r="S34" s="54">
        <v>115711.83333333333</v>
      </c>
      <c r="T34" s="54">
        <v>69915.425000000003</v>
      </c>
      <c r="U34" s="54">
        <v>51669.45888888889</v>
      </c>
      <c r="V34" s="54">
        <v>177523</v>
      </c>
      <c r="W34" s="54">
        <v>13372.74</v>
      </c>
      <c r="X34" s="54">
        <v>32873.362500000003</v>
      </c>
      <c r="Y34" s="54">
        <v>513133.53656249994</v>
      </c>
      <c r="Z34" s="54">
        <v>377310.99531250005</v>
      </c>
      <c r="AA34" s="54">
        <v>890444.5318750001</v>
      </c>
      <c r="AB34" s="54">
        <v>8.4716216216216207</v>
      </c>
      <c r="AC34" s="54">
        <v>6.0189189189189189</v>
      </c>
      <c r="AD34" s="54">
        <v>3.2410714285714284</v>
      </c>
      <c r="AE34" s="54">
        <v>603376.88636363635</v>
      </c>
      <c r="AF34" s="54">
        <v>550974.69818181824</v>
      </c>
      <c r="AG34" s="54">
        <v>67814.596470588236</v>
      </c>
      <c r="AH34" s="54">
        <v>401868.64399999997</v>
      </c>
      <c r="AI34" s="54">
        <v>100862.508</v>
      </c>
      <c r="AJ34" s="54">
        <v>157759.90190476191</v>
      </c>
      <c r="AK34" s="54">
        <v>35004.997272727269</v>
      </c>
      <c r="AL34" s="54">
        <v>24071.454545454544</v>
      </c>
      <c r="AM34" s="54">
        <v>91512.545454545456</v>
      </c>
      <c r="AN34" s="54">
        <v>44466.666666666664</v>
      </c>
      <c r="AO34" s="54">
        <v>15814.779999999999</v>
      </c>
      <c r="AP34" s="54">
        <v>35120.166666666664</v>
      </c>
      <c r="AQ34" s="54">
        <v>22715</v>
      </c>
      <c r="AR34" s="54">
        <v>212379</v>
      </c>
      <c r="AS34" s="54">
        <v>41965</v>
      </c>
      <c r="AT34" s="54">
        <v>56979.208571428571</v>
      </c>
      <c r="AU34" s="54">
        <v>280046.55809523811</v>
      </c>
      <c r="AV34" s="54">
        <v>195255.61380952378</v>
      </c>
      <c r="AW34" s="54">
        <v>475302.17190476198</v>
      </c>
      <c r="AX34" s="54">
        <v>6.1977272727272741</v>
      </c>
      <c r="AY34" s="54">
        <v>4.7613636363636367</v>
      </c>
      <c r="AZ34" s="54">
        <v>2.1066666666666669</v>
      </c>
      <c r="BA34" s="54" t="s">
        <v>342</v>
      </c>
      <c r="BB34" s="54" t="s">
        <v>346</v>
      </c>
    </row>
    <row r="35" spans="1:54" x14ac:dyDescent="0.25">
      <c r="A35" s="54">
        <v>503</v>
      </c>
      <c r="B35" s="54">
        <v>2005</v>
      </c>
      <c r="C35" s="88" t="s">
        <v>82</v>
      </c>
      <c r="D35" s="54" t="s">
        <v>7</v>
      </c>
      <c r="E35" s="54" t="s">
        <v>78</v>
      </c>
      <c r="F35" s="54" t="str">
        <f>_xlfn.CONCAT(Table13[[#This Row],[Geographic Scope]],": ",Table13[[#This Row],[Sub-Type/Focus]])</f>
        <v>Local: Multiple Related Topics</v>
      </c>
      <c r="G35" s="54" t="str">
        <f>_xlfn.CONCAT(Table13[[#This Row],[Geographic Scope]],": ",Table13[[#This Row],[Sub-Type/Focus]],": ",Table13[[#This Row],[Content Type]])</f>
        <v>Local: Multiple Related Topics: Current News &amp; Events</v>
      </c>
      <c r="H35" s="54" t="str">
        <f>_xlfn.CONCAT(Table13[[#This Row],[Geographic Scope]],": ",Table13[[#This Row],[Content Type]])</f>
        <v>Local: Current News &amp; Events</v>
      </c>
      <c r="I35" s="55">
        <v>658895.93387096771</v>
      </c>
      <c r="J35" s="55">
        <v>518251.71833333338</v>
      </c>
      <c r="K35" s="55">
        <v>180674.90370370372</v>
      </c>
      <c r="L35" s="54">
        <v>337993.31107142859</v>
      </c>
      <c r="M35" s="54">
        <v>153185.92272727273</v>
      </c>
      <c r="N35" s="54">
        <v>143209.36862068967</v>
      </c>
      <c r="O35" s="54">
        <v>41755.167419354846</v>
      </c>
      <c r="P35" s="54">
        <v>23355.629032258064</v>
      </c>
      <c r="Q35" s="54">
        <v>68859.258064516136</v>
      </c>
      <c r="R35" s="54">
        <v>30702.75</v>
      </c>
      <c r="S35" s="54">
        <v>115711.83333333333</v>
      </c>
      <c r="T35" s="54">
        <v>69915.425000000003</v>
      </c>
      <c r="U35" s="54">
        <v>51669.45888888889</v>
      </c>
      <c r="V35" s="54">
        <v>177523</v>
      </c>
      <c r="W35" s="54">
        <v>13372.74</v>
      </c>
      <c r="X35" s="54">
        <v>32873.362500000003</v>
      </c>
      <c r="Y35" s="54">
        <v>513133.53656249994</v>
      </c>
      <c r="Z35" s="54">
        <v>377310.99531250005</v>
      </c>
      <c r="AA35" s="54">
        <v>890444.5318750001</v>
      </c>
      <c r="AB35" s="54">
        <v>8.4716216216216207</v>
      </c>
      <c r="AC35" s="54">
        <v>6.0189189189189189</v>
      </c>
      <c r="AD35" s="54">
        <v>3.2410714285714284</v>
      </c>
      <c r="AE35" s="54">
        <v>603376.88636363635</v>
      </c>
      <c r="AF35" s="54">
        <v>550974.69818181824</v>
      </c>
      <c r="AG35" s="54">
        <v>67814.596470588236</v>
      </c>
      <c r="AH35" s="54">
        <v>401868.64399999997</v>
      </c>
      <c r="AI35" s="54">
        <v>100862.508</v>
      </c>
      <c r="AJ35" s="54">
        <v>157759.90190476191</v>
      </c>
      <c r="AK35" s="54">
        <v>35004.997272727269</v>
      </c>
      <c r="AL35" s="54">
        <v>24071.454545454544</v>
      </c>
      <c r="AM35" s="54">
        <v>91512.545454545456</v>
      </c>
      <c r="AN35" s="54">
        <v>44466.666666666664</v>
      </c>
      <c r="AO35" s="54">
        <v>15814.779999999999</v>
      </c>
      <c r="AP35" s="54">
        <v>35120.166666666664</v>
      </c>
      <c r="AQ35" s="54">
        <v>22715</v>
      </c>
      <c r="AR35" s="54">
        <v>212379</v>
      </c>
      <c r="AS35" s="54">
        <v>41965</v>
      </c>
      <c r="AT35" s="54">
        <v>56979.208571428571</v>
      </c>
      <c r="AU35" s="54">
        <v>280046.55809523811</v>
      </c>
      <c r="AV35" s="54">
        <v>195255.61380952378</v>
      </c>
      <c r="AW35" s="54">
        <v>475302.17190476198</v>
      </c>
      <c r="AX35" s="54">
        <v>6.1977272727272741</v>
      </c>
      <c r="AY35" s="54">
        <v>4.7613636363636367</v>
      </c>
      <c r="AZ35" s="54">
        <v>2.1066666666666669</v>
      </c>
      <c r="BA35" s="54" t="s">
        <v>343</v>
      </c>
      <c r="BB35" s="54" t="s">
        <v>354</v>
      </c>
    </row>
    <row r="36" spans="1:54" x14ac:dyDescent="0.25">
      <c r="A36" s="54">
        <v>3066</v>
      </c>
      <c r="B36" s="54">
        <v>2007</v>
      </c>
      <c r="C36" s="88" t="s">
        <v>82</v>
      </c>
      <c r="D36" s="54" t="s">
        <v>7</v>
      </c>
      <c r="E36" s="54" t="s">
        <v>78</v>
      </c>
      <c r="F36" s="54" t="str">
        <f>_xlfn.CONCAT(Table13[[#This Row],[Geographic Scope]],": ",Table13[[#This Row],[Sub-Type/Focus]])</f>
        <v>Local: Multiple Related Topics</v>
      </c>
      <c r="G36" s="54" t="str">
        <f>_xlfn.CONCAT(Table13[[#This Row],[Geographic Scope]],": ",Table13[[#This Row],[Sub-Type/Focus]],": ",Table13[[#This Row],[Content Type]])</f>
        <v>Local: Multiple Related Topics: Current News &amp; Events</v>
      </c>
      <c r="H36" s="54" t="str">
        <f>_xlfn.CONCAT(Table13[[#This Row],[Geographic Scope]],": ",Table13[[#This Row],[Content Type]])</f>
        <v>Local: Current News &amp; Events</v>
      </c>
      <c r="I36" s="55">
        <v>658895.93387096771</v>
      </c>
      <c r="J36" s="55">
        <v>518251.71833333338</v>
      </c>
      <c r="K36" s="55">
        <v>180674.90370370372</v>
      </c>
      <c r="L36" s="54">
        <v>337993.31107142859</v>
      </c>
      <c r="M36" s="54">
        <v>153185.92272727273</v>
      </c>
      <c r="N36" s="54">
        <v>143209.36862068967</v>
      </c>
      <c r="O36" s="54">
        <v>41755.167419354846</v>
      </c>
      <c r="P36" s="54">
        <v>23355.629032258064</v>
      </c>
      <c r="Q36" s="54">
        <v>68859.258064516136</v>
      </c>
      <c r="R36" s="54">
        <v>30702.75</v>
      </c>
      <c r="S36" s="54">
        <v>115711.83333333333</v>
      </c>
      <c r="T36" s="54">
        <v>69915.425000000003</v>
      </c>
      <c r="U36" s="54">
        <v>51669.45888888889</v>
      </c>
      <c r="V36" s="54">
        <v>177523</v>
      </c>
      <c r="W36" s="54">
        <v>13372.74</v>
      </c>
      <c r="X36" s="54">
        <v>32873.362500000003</v>
      </c>
      <c r="Y36" s="54">
        <v>513133.53656249994</v>
      </c>
      <c r="Z36" s="54">
        <v>377310.99531250005</v>
      </c>
      <c r="AA36" s="54">
        <v>890444.5318750001</v>
      </c>
      <c r="AB36" s="54">
        <v>8.4716216216216207</v>
      </c>
      <c r="AC36" s="54">
        <v>6.0189189189189189</v>
      </c>
      <c r="AD36" s="54">
        <v>3.2410714285714284</v>
      </c>
      <c r="AE36" s="54">
        <v>603376.88636363635</v>
      </c>
      <c r="AF36" s="54">
        <v>550974.69818181824</v>
      </c>
      <c r="AG36" s="54">
        <v>67814.596470588236</v>
      </c>
      <c r="AH36" s="54">
        <v>401868.64399999997</v>
      </c>
      <c r="AI36" s="54">
        <v>100862.508</v>
      </c>
      <c r="AJ36" s="54">
        <v>157759.90190476191</v>
      </c>
      <c r="AK36" s="54">
        <v>35004.997272727269</v>
      </c>
      <c r="AL36" s="54">
        <v>24071.454545454544</v>
      </c>
      <c r="AM36" s="54">
        <v>91512.545454545456</v>
      </c>
      <c r="AN36" s="54">
        <v>44466.666666666664</v>
      </c>
      <c r="AO36" s="54">
        <v>15814.779999999999</v>
      </c>
      <c r="AP36" s="54">
        <v>35120.166666666664</v>
      </c>
      <c r="AQ36" s="54">
        <v>22715</v>
      </c>
      <c r="AR36" s="54">
        <v>212379</v>
      </c>
      <c r="AS36" s="54">
        <v>41965</v>
      </c>
      <c r="AT36" s="54">
        <v>56979.208571428571</v>
      </c>
      <c r="AU36" s="54">
        <v>280046.55809523811</v>
      </c>
      <c r="AV36" s="54">
        <v>195255.61380952378</v>
      </c>
      <c r="AW36" s="54">
        <v>475302.17190476198</v>
      </c>
      <c r="AX36" s="54">
        <v>6.1977272727272741</v>
      </c>
      <c r="AY36" s="54">
        <v>4.7613636363636367</v>
      </c>
      <c r="AZ36" s="54">
        <v>2.1066666666666669</v>
      </c>
      <c r="BA36" s="54" t="s">
        <v>343</v>
      </c>
      <c r="BB36" s="54" t="s">
        <v>355</v>
      </c>
    </row>
    <row r="37" spans="1:54" x14ac:dyDescent="0.25">
      <c r="A37" s="54">
        <v>6817</v>
      </c>
      <c r="B37" s="54">
        <v>2018</v>
      </c>
      <c r="C37" s="88" t="s">
        <v>82</v>
      </c>
      <c r="D37" s="54" t="s">
        <v>7</v>
      </c>
      <c r="E37" s="54" t="s">
        <v>78</v>
      </c>
      <c r="F37" s="54" t="str">
        <f>_xlfn.CONCAT(Table13[[#This Row],[Geographic Scope]],": ",Table13[[#This Row],[Sub-Type/Focus]])</f>
        <v>Local: Multiple Related Topics</v>
      </c>
      <c r="G37" s="54" t="str">
        <f>_xlfn.CONCAT(Table13[[#This Row],[Geographic Scope]],": ",Table13[[#This Row],[Sub-Type/Focus]],": ",Table13[[#This Row],[Content Type]])</f>
        <v>Local: Multiple Related Topics: Current News &amp; Events</v>
      </c>
      <c r="H37" s="54" t="str">
        <f>_xlfn.CONCAT(Table13[[#This Row],[Geographic Scope]],": ",Table13[[#This Row],[Content Type]])</f>
        <v>Local: Current News &amp; Events</v>
      </c>
      <c r="I37" s="55">
        <v>658895.93387096771</v>
      </c>
      <c r="J37" s="55">
        <v>518251.71833333338</v>
      </c>
      <c r="K37" s="55">
        <v>180674.90370370372</v>
      </c>
      <c r="L37" s="54">
        <v>337993.31107142859</v>
      </c>
      <c r="M37" s="54">
        <v>153185.92272727273</v>
      </c>
      <c r="N37" s="54">
        <v>143209.36862068967</v>
      </c>
      <c r="O37" s="54">
        <v>41755.167419354846</v>
      </c>
      <c r="P37" s="54">
        <v>23355.629032258064</v>
      </c>
      <c r="Q37" s="54">
        <v>68859.258064516136</v>
      </c>
      <c r="R37" s="54">
        <v>30702.75</v>
      </c>
      <c r="S37" s="54">
        <v>115711.83333333333</v>
      </c>
      <c r="T37" s="54">
        <v>69915.425000000003</v>
      </c>
      <c r="U37" s="54">
        <v>51669.45888888889</v>
      </c>
      <c r="V37" s="54">
        <v>177523</v>
      </c>
      <c r="W37" s="54">
        <v>13372.74</v>
      </c>
      <c r="X37" s="54">
        <v>32873.362500000003</v>
      </c>
      <c r="Y37" s="54">
        <v>513133.53656249994</v>
      </c>
      <c r="Z37" s="54">
        <v>377310.99531250005</v>
      </c>
      <c r="AA37" s="54">
        <v>890444.5318750001</v>
      </c>
      <c r="AB37" s="54">
        <v>8.4716216216216207</v>
      </c>
      <c r="AC37" s="54">
        <v>6.0189189189189189</v>
      </c>
      <c r="AD37" s="54">
        <v>3.2410714285714284</v>
      </c>
      <c r="AE37" s="54">
        <v>603376.88636363635</v>
      </c>
      <c r="AF37" s="54">
        <v>550974.69818181824</v>
      </c>
      <c r="AG37" s="54">
        <v>67814.596470588236</v>
      </c>
      <c r="AH37" s="54">
        <v>401868.64399999997</v>
      </c>
      <c r="AI37" s="54">
        <v>100862.508</v>
      </c>
      <c r="AJ37" s="54">
        <v>157759.90190476191</v>
      </c>
      <c r="AK37" s="54">
        <v>35004.997272727269</v>
      </c>
      <c r="AL37" s="54">
        <v>24071.454545454544</v>
      </c>
      <c r="AM37" s="54">
        <v>91512.545454545456</v>
      </c>
      <c r="AN37" s="54">
        <v>44466.666666666664</v>
      </c>
      <c r="AO37" s="54">
        <v>15814.779999999999</v>
      </c>
      <c r="AP37" s="54">
        <v>35120.166666666664</v>
      </c>
      <c r="AQ37" s="54">
        <v>22715</v>
      </c>
      <c r="AR37" s="54">
        <v>212379</v>
      </c>
      <c r="AS37" s="54">
        <v>41965</v>
      </c>
      <c r="AT37" s="54">
        <v>56979.208571428571</v>
      </c>
      <c r="AU37" s="54">
        <v>280046.55809523811</v>
      </c>
      <c r="AV37" s="54">
        <v>195255.61380952378</v>
      </c>
      <c r="AW37" s="54">
        <v>475302.17190476198</v>
      </c>
      <c r="AX37" s="54">
        <v>6.1977272727272741</v>
      </c>
      <c r="AY37" s="54">
        <v>4.7613636363636367</v>
      </c>
      <c r="AZ37" s="54">
        <v>2.1066666666666669</v>
      </c>
      <c r="BA37" s="54" t="s">
        <v>339</v>
      </c>
      <c r="BB37" s="54" t="s">
        <v>356</v>
      </c>
    </row>
    <row r="38" spans="1:54" x14ac:dyDescent="0.25">
      <c r="A38" s="54">
        <v>6836</v>
      </c>
      <c r="B38" s="54">
        <v>2020</v>
      </c>
      <c r="C38" s="88" t="s">
        <v>82</v>
      </c>
      <c r="D38" s="54" t="s">
        <v>7</v>
      </c>
      <c r="E38" s="54" t="s">
        <v>78</v>
      </c>
      <c r="F38" s="54" t="str">
        <f>_xlfn.CONCAT(Table13[[#This Row],[Geographic Scope]],": ",Table13[[#This Row],[Sub-Type/Focus]])</f>
        <v>Local: Multiple Related Topics</v>
      </c>
      <c r="G38" s="54" t="str">
        <f>_xlfn.CONCAT(Table13[[#This Row],[Geographic Scope]],": ",Table13[[#This Row],[Sub-Type/Focus]],": ",Table13[[#This Row],[Content Type]])</f>
        <v>Local: Multiple Related Topics: Current News &amp; Events</v>
      </c>
      <c r="H38" s="54" t="str">
        <f>_xlfn.CONCAT(Table13[[#This Row],[Geographic Scope]],": ",Table13[[#This Row],[Content Type]])</f>
        <v>Local: Current News &amp; Events</v>
      </c>
      <c r="I38" s="55">
        <v>658895.93387096771</v>
      </c>
      <c r="J38" s="55">
        <v>518251.71833333338</v>
      </c>
      <c r="K38" s="55">
        <v>180674.90370370372</v>
      </c>
      <c r="L38" s="54">
        <v>337993.31107142859</v>
      </c>
      <c r="M38" s="54">
        <v>153185.92272727273</v>
      </c>
      <c r="N38" s="54">
        <v>143209.36862068967</v>
      </c>
      <c r="O38" s="54">
        <v>41755.167419354846</v>
      </c>
      <c r="P38" s="54">
        <v>23355.629032258064</v>
      </c>
      <c r="Q38" s="54">
        <v>68859.258064516136</v>
      </c>
      <c r="R38" s="54">
        <v>30702.75</v>
      </c>
      <c r="S38" s="54">
        <v>115711.83333333333</v>
      </c>
      <c r="T38" s="54">
        <v>69915.425000000003</v>
      </c>
      <c r="U38" s="54">
        <v>51669.45888888889</v>
      </c>
      <c r="V38" s="54">
        <v>177523</v>
      </c>
      <c r="W38" s="54">
        <v>13372.74</v>
      </c>
      <c r="X38" s="54">
        <v>32873.362500000003</v>
      </c>
      <c r="Y38" s="54">
        <v>513133.53656249994</v>
      </c>
      <c r="Z38" s="54">
        <v>377310.99531250005</v>
      </c>
      <c r="AA38" s="54">
        <v>890444.5318750001</v>
      </c>
      <c r="AB38" s="54">
        <v>8.4716216216216207</v>
      </c>
      <c r="AC38" s="54">
        <v>6.0189189189189189</v>
      </c>
      <c r="AD38" s="54">
        <v>3.2410714285714284</v>
      </c>
      <c r="AE38" s="54">
        <v>603376.88636363635</v>
      </c>
      <c r="AF38" s="54">
        <v>550974.69818181824</v>
      </c>
      <c r="AG38" s="54">
        <v>67814.596470588236</v>
      </c>
      <c r="AH38" s="54">
        <v>401868.64399999997</v>
      </c>
      <c r="AI38" s="54">
        <v>100862.508</v>
      </c>
      <c r="AJ38" s="54">
        <v>157759.90190476191</v>
      </c>
      <c r="AK38" s="54">
        <v>35004.997272727269</v>
      </c>
      <c r="AL38" s="54">
        <v>24071.454545454544</v>
      </c>
      <c r="AM38" s="54">
        <v>91512.545454545456</v>
      </c>
      <c r="AN38" s="54">
        <v>44466.666666666664</v>
      </c>
      <c r="AO38" s="54">
        <v>15814.779999999999</v>
      </c>
      <c r="AP38" s="54">
        <v>35120.166666666664</v>
      </c>
      <c r="AQ38" s="54">
        <v>22715</v>
      </c>
      <c r="AR38" s="54">
        <v>212379</v>
      </c>
      <c r="AS38" s="54">
        <v>41965</v>
      </c>
      <c r="AT38" s="54">
        <v>56979.208571428571</v>
      </c>
      <c r="AU38" s="54">
        <v>280046.55809523811</v>
      </c>
      <c r="AV38" s="54">
        <v>195255.61380952378</v>
      </c>
      <c r="AW38" s="54">
        <v>475302.17190476198</v>
      </c>
      <c r="AX38" s="54">
        <v>6.1977272727272741</v>
      </c>
      <c r="AY38" s="54">
        <v>4.7613636363636367</v>
      </c>
      <c r="AZ38" s="54">
        <v>2.1066666666666669</v>
      </c>
      <c r="BA38" s="54" t="s">
        <v>342</v>
      </c>
    </row>
    <row r="39" spans="1:54" x14ac:dyDescent="0.25">
      <c r="A39" s="54">
        <v>6850</v>
      </c>
      <c r="B39" s="54">
        <v>2020</v>
      </c>
      <c r="C39" s="88" t="s">
        <v>82</v>
      </c>
      <c r="D39" s="54" t="s">
        <v>7</v>
      </c>
      <c r="E39" s="54" t="s">
        <v>78</v>
      </c>
      <c r="F39" s="54" t="str">
        <f>_xlfn.CONCAT(Table13[[#This Row],[Geographic Scope]],": ",Table13[[#This Row],[Sub-Type/Focus]])</f>
        <v>Local: Multiple Related Topics</v>
      </c>
      <c r="G39" s="54" t="str">
        <f>_xlfn.CONCAT(Table13[[#This Row],[Geographic Scope]],": ",Table13[[#This Row],[Sub-Type/Focus]],": ",Table13[[#This Row],[Content Type]])</f>
        <v>Local: Multiple Related Topics: Current News &amp; Events</v>
      </c>
      <c r="H39" s="54" t="str">
        <f>_xlfn.CONCAT(Table13[[#This Row],[Geographic Scope]],": ",Table13[[#This Row],[Content Type]])</f>
        <v>Local: Current News &amp; Events</v>
      </c>
      <c r="I39" s="55">
        <v>658895.93387096771</v>
      </c>
      <c r="J39" s="55">
        <v>518251.71833333338</v>
      </c>
      <c r="K39" s="55">
        <v>180674.90370370372</v>
      </c>
      <c r="L39" s="54">
        <v>337993.31107142859</v>
      </c>
      <c r="M39" s="54">
        <v>153185.92272727273</v>
      </c>
      <c r="N39" s="54">
        <v>143209.36862068967</v>
      </c>
      <c r="O39" s="54">
        <v>41755.167419354846</v>
      </c>
      <c r="P39" s="54">
        <v>23355.629032258064</v>
      </c>
      <c r="Q39" s="54">
        <v>68859.258064516136</v>
      </c>
      <c r="R39" s="54">
        <v>30702.75</v>
      </c>
      <c r="S39" s="54">
        <v>115711.83333333333</v>
      </c>
      <c r="T39" s="54">
        <v>69915.425000000003</v>
      </c>
      <c r="U39" s="54">
        <v>51669.45888888889</v>
      </c>
      <c r="V39" s="54">
        <v>177523</v>
      </c>
      <c r="W39" s="54">
        <v>13372.74</v>
      </c>
      <c r="X39" s="54">
        <v>32873.362500000003</v>
      </c>
      <c r="Y39" s="54">
        <v>513133.53656249994</v>
      </c>
      <c r="Z39" s="54">
        <v>377310.99531250005</v>
      </c>
      <c r="AA39" s="54">
        <v>890444.5318750001</v>
      </c>
      <c r="AB39" s="54">
        <v>8.4716216216216207</v>
      </c>
      <c r="AC39" s="54">
        <v>6.0189189189189189</v>
      </c>
      <c r="AD39" s="54">
        <v>3.2410714285714284</v>
      </c>
      <c r="AE39" s="54">
        <v>603376.88636363635</v>
      </c>
      <c r="AF39" s="54">
        <v>550974.69818181824</v>
      </c>
      <c r="AG39" s="54">
        <v>67814.596470588236</v>
      </c>
      <c r="AH39" s="54">
        <v>401868.64399999997</v>
      </c>
      <c r="AI39" s="54">
        <v>100862.508</v>
      </c>
      <c r="AJ39" s="54">
        <v>157759.90190476191</v>
      </c>
      <c r="AK39" s="54">
        <v>35004.997272727269</v>
      </c>
      <c r="AL39" s="54">
        <v>24071.454545454544</v>
      </c>
      <c r="AM39" s="54">
        <v>91512.545454545456</v>
      </c>
      <c r="AN39" s="54">
        <v>44466.666666666664</v>
      </c>
      <c r="AO39" s="54">
        <v>15814.779999999999</v>
      </c>
      <c r="AP39" s="54">
        <v>35120.166666666664</v>
      </c>
      <c r="AQ39" s="54">
        <v>22715</v>
      </c>
      <c r="AR39" s="54">
        <v>212379</v>
      </c>
      <c r="AS39" s="54">
        <v>41965</v>
      </c>
      <c r="AT39" s="54">
        <v>56979.208571428571</v>
      </c>
      <c r="AU39" s="54">
        <v>280046.55809523811</v>
      </c>
      <c r="AV39" s="54">
        <v>195255.61380952378</v>
      </c>
      <c r="AW39" s="54">
        <v>475302.17190476198</v>
      </c>
      <c r="AX39" s="54">
        <v>6.1977272727272741</v>
      </c>
      <c r="AY39" s="54">
        <v>4.7613636363636367</v>
      </c>
      <c r="AZ39" s="54">
        <v>2.1066666666666669</v>
      </c>
      <c r="BA39" s="54" t="s">
        <v>342</v>
      </c>
      <c r="BB39" s="54" t="s">
        <v>346</v>
      </c>
    </row>
    <row r="40" spans="1:54" x14ac:dyDescent="0.25">
      <c r="A40" s="54">
        <v>361</v>
      </c>
      <c r="B40" s="54">
        <v>2018</v>
      </c>
      <c r="C40" s="88" t="s">
        <v>82</v>
      </c>
      <c r="D40" s="54" t="s">
        <v>7</v>
      </c>
      <c r="E40" s="54" t="s">
        <v>79</v>
      </c>
      <c r="F40" s="54" t="str">
        <f>_xlfn.CONCAT(Table13[[#This Row],[Geographic Scope]],": ",Table13[[#This Row],[Sub-Type/Focus]])</f>
        <v>Local: Single-Topic</v>
      </c>
      <c r="G40" s="54" t="str">
        <f>_xlfn.CONCAT(Table13[[#This Row],[Geographic Scope]],": ",Table13[[#This Row],[Sub-Type/Focus]],": ",Table13[[#This Row],[Content Type]])</f>
        <v>Local: Single-Topic: Current News &amp; Events</v>
      </c>
      <c r="H40" s="54" t="str">
        <f>_xlfn.CONCAT(Table13[[#This Row],[Geographic Scope]],": ",Table13[[#This Row],[Content Type]])</f>
        <v>Local: Current News &amp; Events</v>
      </c>
      <c r="I40" s="55">
        <v>658895.93387096771</v>
      </c>
      <c r="J40" s="55">
        <v>518251.71833333338</v>
      </c>
      <c r="K40" s="55">
        <v>180674.90370370372</v>
      </c>
      <c r="L40" s="54">
        <v>337993.31107142859</v>
      </c>
      <c r="M40" s="54">
        <v>153185.92272727273</v>
      </c>
      <c r="N40" s="54">
        <v>143209.36862068967</v>
      </c>
      <c r="O40" s="54">
        <v>41755.167419354846</v>
      </c>
      <c r="P40" s="54">
        <v>23355.629032258064</v>
      </c>
      <c r="Q40" s="54">
        <v>68859.258064516136</v>
      </c>
      <c r="R40" s="54">
        <v>30702.75</v>
      </c>
      <c r="S40" s="54">
        <v>115711.83333333333</v>
      </c>
      <c r="T40" s="54">
        <v>69915.425000000003</v>
      </c>
      <c r="U40" s="54">
        <v>51669.45888888889</v>
      </c>
      <c r="V40" s="54">
        <v>177523</v>
      </c>
      <c r="W40" s="54">
        <v>13372.74</v>
      </c>
      <c r="X40" s="54">
        <v>32873.362500000003</v>
      </c>
      <c r="Y40" s="54">
        <v>513133.53656249994</v>
      </c>
      <c r="Z40" s="54">
        <v>377310.99531250005</v>
      </c>
      <c r="AA40" s="54">
        <v>890444.5318750001</v>
      </c>
      <c r="AB40" s="54">
        <v>8.4716216216216207</v>
      </c>
      <c r="AC40" s="54">
        <v>6.0189189189189189</v>
      </c>
      <c r="AD40" s="54">
        <v>3.2410714285714284</v>
      </c>
      <c r="AE40" s="54">
        <v>421700.44500000001</v>
      </c>
      <c r="AF40" s="54">
        <v>338107.56</v>
      </c>
      <c r="AG40" s="54">
        <v>100311.462</v>
      </c>
      <c r="AH40" s="54">
        <v>133183.4</v>
      </c>
      <c r="AI40" s="54">
        <v>7542.8133333333344</v>
      </c>
      <c r="AJ40" s="54">
        <v>193248.38399999999</v>
      </c>
      <c r="AK40" s="54">
        <v>72415.653333333335</v>
      </c>
      <c r="AL40" s="54">
        <v>36011.166666666664</v>
      </c>
      <c r="AM40" s="54">
        <v>52613.5</v>
      </c>
      <c r="AN40" s="54">
        <v>124619.33333333333</v>
      </c>
      <c r="AO40" s="54">
        <v>55087</v>
      </c>
      <c r="AP40" s="54">
        <v>30058</v>
      </c>
      <c r="AQ40" s="54">
        <v>33994.285000000003</v>
      </c>
      <c r="AR40" s="54">
        <v>145925</v>
      </c>
      <c r="AS40" s="54">
        <v>8982.369999999999</v>
      </c>
      <c r="AT40" s="54">
        <v>14767.333333333334</v>
      </c>
      <c r="AU40" s="54">
        <v>195557</v>
      </c>
      <c r="AV40" s="54">
        <v>150156.10833333334</v>
      </c>
      <c r="AW40" s="54">
        <v>345713.10833333334</v>
      </c>
      <c r="AX40" s="54">
        <v>4.3374999999999995</v>
      </c>
      <c r="AY40" s="54">
        <v>2.4166666666666665</v>
      </c>
      <c r="AZ40" s="54">
        <v>5.7625000000000002</v>
      </c>
      <c r="BA40" s="54" t="s">
        <v>342</v>
      </c>
      <c r="BB40" s="54" t="s">
        <v>346</v>
      </c>
    </row>
    <row r="41" spans="1:54" x14ac:dyDescent="0.25">
      <c r="A41" s="54">
        <v>493</v>
      </c>
      <c r="B41" s="54">
        <v>2018</v>
      </c>
      <c r="C41" s="88" t="s">
        <v>80</v>
      </c>
      <c r="D41" s="54" t="s">
        <v>7</v>
      </c>
      <c r="E41" s="54" t="s">
        <v>77</v>
      </c>
      <c r="F41" s="54" t="str">
        <f>_xlfn.CONCAT(Table13[[#This Row],[Geographic Scope]],": ",Table13[[#This Row],[Sub-Type/Focus]])</f>
        <v>Local: General</v>
      </c>
      <c r="G41" s="54" t="str">
        <f>_xlfn.CONCAT(Table13[[#This Row],[Geographic Scope]],": ",Table13[[#This Row],[Sub-Type/Focus]],": ",Table13[[#This Row],[Content Type]])</f>
        <v>Local: General: Explanatory &amp; Analysis</v>
      </c>
      <c r="H41" s="54" t="str">
        <f>_xlfn.CONCAT(Table13[[#This Row],[Geographic Scope]],": ",Table13[[#This Row],[Content Type]])</f>
        <v>Local: Explanatory &amp; Analysis</v>
      </c>
      <c r="I41" s="55">
        <v>457893.05</v>
      </c>
      <c r="J41" s="55">
        <v>329833.27173913043</v>
      </c>
      <c r="K41" s="55">
        <v>155019.73157894737</v>
      </c>
      <c r="L41" s="54">
        <v>236082.644</v>
      </c>
      <c r="M41" s="54">
        <v>25196.196</v>
      </c>
      <c r="N41" s="54">
        <v>99512.426818181804</v>
      </c>
      <c r="O41" s="54">
        <v>41620.973478260872</v>
      </c>
      <c r="P41" s="54">
        <v>18937.304347826088</v>
      </c>
      <c r="Q41" s="54">
        <v>34627.521739130432</v>
      </c>
      <c r="R41" s="54">
        <v>68657.25</v>
      </c>
      <c r="S41" s="54">
        <v>166293.03076923077</v>
      </c>
      <c r="T41" s="54">
        <v>28730.857142857141</v>
      </c>
      <c r="U41" s="54">
        <v>18363.142500000002</v>
      </c>
      <c r="V41" s="54">
        <v>119969.66666666667</v>
      </c>
      <c r="W41" s="54">
        <v>6696.5</v>
      </c>
      <c r="X41" s="54">
        <v>22615.821666666667</v>
      </c>
      <c r="Y41" s="54">
        <v>191722.71458333335</v>
      </c>
      <c r="Z41" s="54">
        <v>125721.23083333332</v>
      </c>
      <c r="AA41" s="54">
        <v>317443.94541666668</v>
      </c>
      <c r="AB41" s="54">
        <v>5.536458333333333</v>
      </c>
      <c r="AC41" s="54">
        <v>3.6847826086956523</v>
      </c>
      <c r="AD41" s="54">
        <v>3.0078125</v>
      </c>
      <c r="AE41" s="54">
        <v>506626.39920000004</v>
      </c>
      <c r="AF41" s="54">
        <v>357700.67571428569</v>
      </c>
      <c r="AG41" s="54">
        <v>185809.21071428573</v>
      </c>
      <c r="AH41" s="54">
        <v>218884.81978260871</v>
      </c>
      <c r="AI41" s="54">
        <v>102236.50937499999</v>
      </c>
      <c r="AJ41" s="54">
        <v>107951.91428571429</v>
      </c>
      <c r="AK41" s="54">
        <v>38492.880000000005</v>
      </c>
      <c r="AL41" s="54">
        <v>18903.348000000002</v>
      </c>
      <c r="AM41" s="54">
        <v>48396.648000000001</v>
      </c>
      <c r="AN41" s="54">
        <v>41015.649999999994</v>
      </c>
      <c r="AO41" s="54">
        <v>173323.45733333335</v>
      </c>
      <c r="AP41" s="54">
        <v>47006.517857142855</v>
      </c>
      <c r="AQ41" s="54">
        <v>38085.548461538463</v>
      </c>
      <c r="AR41" s="54">
        <v>121145.11111111111</v>
      </c>
      <c r="AS41" s="54">
        <v>220.74</v>
      </c>
      <c r="AT41" s="54">
        <v>22520.766875000001</v>
      </c>
      <c r="AU41" s="54">
        <v>387710.28823529411</v>
      </c>
      <c r="AV41" s="54">
        <v>251234.2737254902</v>
      </c>
      <c r="AW41" s="54">
        <v>638944.56196078437</v>
      </c>
      <c r="AX41" s="54">
        <v>7.6517857142857144</v>
      </c>
      <c r="AY41" s="54">
        <v>5.35</v>
      </c>
      <c r="AZ41" s="54">
        <v>2.9184782608695654</v>
      </c>
      <c r="BA41" s="54" t="s">
        <v>342</v>
      </c>
    </row>
    <row r="42" spans="1:54" x14ac:dyDescent="0.25">
      <c r="A42" s="54">
        <v>507</v>
      </c>
      <c r="B42" s="54">
        <v>2017</v>
      </c>
      <c r="C42" s="88" t="s">
        <v>80</v>
      </c>
      <c r="D42" s="54" t="s">
        <v>7</v>
      </c>
      <c r="E42" s="54" t="s">
        <v>77</v>
      </c>
      <c r="F42" s="54" t="str">
        <f>_xlfn.CONCAT(Table13[[#This Row],[Geographic Scope]],": ",Table13[[#This Row],[Sub-Type/Focus]])</f>
        <v>Local: General</v>
      </c>
      <c r="G42" s="54" t="str">
        <f>_xlfn.CONCAT(Table13[[#This Row],[Geographic Scope]],": ",Table13[[#This Row],[Sub-Type/Focus]],": ",Table13[[#This Row],[Content Type]])</f>
        <v>Local: General: Explanatory &amp; Analysis</v>
      </c>
      <c r="H42" s="54" t="str">
        <f>_xlfn.CONCAT(Table13[[#This Row],[Geographic Scope]],": ",Table13[[#This Row],[Content Type]])</f>
        <v>Local: Explanatory &amp; Analysis</v>
      </c>
      <c r="I42" s="55">
        <v>457893.05</v>
      </c>
      <c r="J42" s="55">
        <v>329833.27173913043</v>
      </c>
      <c r="K42" s="55">
        <v>155019.73157894737</v>
      </c>
      <c r="L42" s="54">
        <v>236082.644</v>
      </c>
      <c r="M42" s="54">
        <v>25196.196</v>
      </c>
      <c r="N42" s="54">
        <v>99512.426818181804</v>
      </c>
      <c r="O42" s="54">
        <v>41620.973478260872</v>
      </c>
      <c r="P42" s="54">
        <v>18937.304347826088</v>
      </c>
      <c r="Q42" s="54">
        <v>34627.521739130432</v>
      </c>
      <c r="R42" s="54">
        <v>68657.25</v>
      </c>
      <c r="S42" s="54">
        <v>166293.03076923077</v>
      </c>
      <c r="T42" s="54">
        <v>28730.857142857141</v>
      </c>
      <c r="U42" s="54">
        <v>18363.142500000002</v>
      </c>
      <c r="V42" s="54">
        <v>119969.66666666667</v>
      </c>
      <c r="W42" s="54">
        <v>6696.5</v>
      </c>
      <c r="X42" s="54">
        <v>22615.821666666667</v>
      </c>
      <c r="Y42" s="54">
        <v>191722.71458333335</v>
      </c>
      <c r="Z42" s="54">
        <v>125721.23083333332</v>
      </c>
      <c r="AA42" s="54">
        <v>317443.94541666668</v>
      </c>
      <c r="AB42" s="54">
        <v>5.536458333333333</v>
      </c>
      <c r="AC42" s="54">
        <v>3.6847826086956523</v>
      </c>
      <c r="AD42" s="54">
        <v>3.0078125</v>
      </c>
      <c r="AE42" s="54">
        <v>506626.39920000004</v>
      </c>
      <c r="AF42" s="54">
        <v>357700.67571428569</v>
      </c>
      <c r="AG42" s="54">
        <v>185809.21071428573</v>
      </c>
      <c r="AH42" s="54">
        <v>218884.81978260871</v>
      </c>
      <c r="AI42" s="54">
        <v>102236.50937499999</v>
      </c>
      <c r="AJ42" s="54">
        <v>107951.91428571429</v>
      </c>
      <c r="AK42" s="54">
        <v>38492.880000000005</v>
      </c>
      <c r="AL42" s="54">
        <v>18903.348000000002</v>
      </c>
      <c r="AM42" s="54">
        <v>48396.648000000001</v>
      </c>
      <c r="AN42" s="54">
        <v>41015.649999999994</v>
      </c>
      <c r="AO42" s="54">
        <v>173323.45733333335</v>
      </c>
      <c r="AP42" s="54">
        <v>47006.517857142855</v>
      </c>
      <c r="AQ42" s="54">
        <v>38085.548461538463</v>
      </c>
      <c r="AR42" s="54">
        <v>121145.11111111111</v>
      </c>
      <c r="AS42" s="54">
        <v>220.74</v>
      </c>
      <c r="AT42" s="54">
        <v>22520.766875000001</v>
      </c>
      <c r="AU42" s="54">
        <v>387710.28823529411</v>
      </c>
      <c r="AV42" s="54">
        <v>251234.2737254902</v>
      </c>
      <c r="AW42" s="54">
        <v>638944.56196078437</v>
      </c>
      <c r="AX42" s="54">
        <v>7.6517857142857144</v>
      </c>
      <c r="AY42" s="54">
        <v>5.35</v>
      </c>
      <c r="AZ42" s="54">
        <v>2.9184782608695654</v>
      </c>
      <c r="BA42" s="54" t="s">
        <v>342</v>
      </c>
      <c r="BB42" s="54" t="s">
        <v>357</v>
      </c>
    </row>
    <row r="43" spans="1:54" x14ac:dyDescent="0.25">
      <c r="A43" s="54">
        <v>640</v>
      </c>
      <c r="B43" s="54">
        <v>2020</v>
      </c>
      <c r="C43" s="88" t="s">
        <v>80</v>
      </c>
      <c r="D43" s="54" t="s">
        <v>7</v>
      </c>
      <c r="E43" s="54" t="s">
        <v>77</v>
      </c>
      <c r="F43" s="54" t="str">
        <f>_xlfn.CONCAT(Table13[[#This Row],[Geographic Scope]],": ",Table13[[#This Row],[Sub-Type/Focus]])</f>
        <v>Local: General</v>
      </c>
      <c r="G43" s="54" t="str">
        <f>_xlfn.CONCAT(Table13[[#This Row],[Geographic Scope]],": ",Table13[[#This Row],[Sub-Type/Focus]],": ",Table13[[#This Row],[Content Type]])</f>
        <v>Local: General: Explanatory &amp; Analysis</v>
      </c>
      <c r="H43" s="54" t="str">
        <f>_xlfn.CONCAT(Table13[[#This Row],[Geographic Scope]],": ",Table13[[#This Row],[Content Type]])</f>
        <v>Local: Explanatory &amp; Analysis</v>
      </c>
      <c r="I43" s="55">
        <v>457893.05</v>
      </c>
      <c r="J43" s="55">
        <v>329833.27173913043</v>
      </c>
      <c r="K43" s="55">
        <v>155019.73157894737</v>
      </c>
      <c r="L43" s="54">
        <v>236082.644</v>
      </c>
      <c r="M43" s="54">
        <v>25196.196</v>
      </c>
      <c r="N43" s="54">
        <v>99512.426818181804</v>
      </c>
      <c r="O43" s="54">
        <v>41620.973478260872</v>
      </c>
      <c r="P43" s="54">
        <v>18937.304347826088</v>
      </c>
      <c r="Q43" s="54">
        <v>34627.521739130432</v>
      </c>
      <c r="R43" s="54">
        <v>68657.25</v>
      </c>
      <c r="S43" s="54">
        <v>166293.03076923077</v>
      </c>
      <c r="T43" s="54">
        <v>28730.857142857141</v>
      </c>
      <c r="U43" s="54">
        <v>18363.142500000002</v>
      </c>
      <c r="V43" s="54">
        <v>119969.66666666667</v>
      </c>
      <c r="W43" s="54">
        <v>6696.5</v>
      </c>
      <c r="X43" s="54">
        <v>22615.821666666667</v>
      </c>
      <c r="Y43" s="54">
        <v>191722.71458333335</v>
      </c>
      <c r="Z43" s="54">
        <v>125721.23083333332</v>
      </c>
      <c r="AA43" s="54">
        <v>317443.94541666668</v>
      </c>
      <c r="AB43" s="54">
        <v>5.536458333333333</v>
      </c>
      <c r="AC43" s="54">
        <v>3.6847826086956523</v>
      </c>
      <c r="AD43" s="54">
        <v>3.0078125</v>
      </c>
      <c r="AE43" s="54">
        <v>506626.39920000004</v>
      </c>
      <c r="AF43" s="54">
        <v>357700.67571428569</v>
      </c>
      <c r="AG43" s="54">
        <v>185809.21071428573</v>
      </c>
      <c r="AH43" s="54">
        <v>218884.81978260871</v>
      </c>
      <c r="AI43" s="54">
        <v>102236.50937499999</v>
      </c>
      <c r="AJ43" s="54">
        <v>107951.91428571429</v>
      </c>
      <c r="AK43" s="54">
        <v>38492.880000000005</v>
      </c>
      <c r="AL43" s="54">
        <v>18903.348000000002</v>
      </c>
      <c r="AM43" s="54">
        <v>48396.648000000001</v>
      </c>
      <c r="AN43" s="54">
        <v>41015.649999999994</v>
      </c>
      <c r="AO43" s="54">
        <v>173323.45733333335</v>
      </c>
      <c r="AP43" s="54">
        <v>47006.517857142855</v>
      </c>
      <c r="AQ43" s="54">
        <v>38085.548461538463</v>
      </c>
      <c r="AR43" s="54">
        <v>121145.11111111111</v>
      </c>
      <c r="AS43" s="54">
        <v>220.74</v>
      </c>
      <c r="AT43" s="54">
        <v>22520.766875000001</v>
      </c>
      <c r="AU43" s="54">
        <v>387710.28823529411</v>
      </c>
      <c r="AV43" s="54">
        <v>251234.2737254902</v>
      </c>
      <c r="AW43" s="54">
        <v>638944.56196078437</v>
      </c>
      <c r="AX43" s="54">
        <v>7.6517857142857144</v>
      </c>
      <c r="AY43" s="54">
        <v>5.35</v>
      </c>
      <c r="AZ43" s="54">
        <v>2.9184782608695654</v>
      </c>
      <c r="BA43" s="54" t="s">
        <v>342</v>
      </c>
      <c r="BB43" s="54" t="s">
        <v>347</v>
      </c>
    </row>
    <row r="44" spans="1:54" x14ac:dyDescent="0.25">
      <c r="A44" s="54">
        <v>2500</v>
      </c>
      <c r="B44" s="54">
        <v>2016</v>
      </c>
      <c r="C44" s="88" t="s">
        <v>80</v>
      </c>
      <c r="D44" s="54" t="s">
        <v>7</v>
      </c>
      <c r="E44" s="54" t="s">
        <v>77</v>
      </c>
      <c r="F44" s="54" t="str">
        <f>_xlfn.CONCAT(Table13[[#This Row],[Geographic Scope]],": ",Table13[[#This Row],[Sub-Type/Focus]])</f>
        <v>Local: General</v>
      </c>
      <c r="G44" s="54" t="str">
        <f>_xlfn.CONCAT(Table13[[#This Row],[Geographic Scope]],": ",Table13[[#This Row],[Sub-Type/Focus]],": ",Table13[[#This Row],[Content Type]])</f>
        <v>Local: General: Explanatory &amp; Analysis</v>
      </c>
      <c r="H44" s="54" t="str">
        <f>_xlfn.CONCAT(Table13[[#This Row],[Geographic Scope]],": ",Table13[[#This Row],[Content Type]])</f>
        <v>Local: Explanatory &amp; Analysis</v>
      </c>
      <c r="I44" s="55">
        <v>457893.05</v>
      </c>
      <c r="J44" s="55">
        <v>329833.27173913043</v>
      </c>
      <c r="K44" s="55">
        <v>155019.73157894737</v>
      </c>
      <c r="L44" s="54">
        <v>236082.644</v>
      </c>
      <c r="M44" s="54">
        <v>25196.196</v>
      </c>
      <c r="N44" s="54">
        <v>99512.426818181804</v>
      </c>
      <c r="O44" s="54">
        <v>41620.973478260872</v>
      </c>
      <c r="P44" s="54">
        <v>18937.304347826088</v>
      </c>
      <c r="Q44" s="54">
        <v>34627.521739130432</v>
      </c>
      <c r="R44" s="54">
        <v>68657.25</v>
      </c>
      <c r="S44" s="54">
        <v>166293.03076923077</v>
      </c>
      <c r="T44" s="54">
        <v>28730.857142857141</v>
      </c>
      <c r="U44" s="54">
        <v>18363.142500000002</v>
      </c>
      <c r="V44" s="54">
        <v>119969.66666666667</v>
      </c>
      <c r="W44" s="54">
        <v>6696.5</v>
      </c>
      <c r="X44" s="54">
        <v>22615.821666666667</v>
      </c>
      <c r="Y44" s="54">
        <v>191722.71458333335</v>
      </c>
      <c r="Z44" s="54">
        <v>125721.23083333332</v>
      </c>
      <c r="AA44" s="54">
        <v>317443.94541666668</v>
      </c>
      <c r="AB44" s="54">
        <v>5.536458333333333</v>
      </c>
      <c r="AC44" s="54">
        <v>3.6847826086956523</v>
      </c>
      <c r="AD44" s="54">
        <v>3.0078125</v>
      </c>
      <c r="AE44" s="54">
        <v>506626.39920000004</v>
      </c>
      <c r="AF44" s="54">
        <v>357700.67571428569</v>
      </c>
      <c r="AG44" s="54">
        <v>185809.21071428573</v>
      </c>
      <c r="AH44" s="54">
        <v>218884.81978260871</v>
      </c>
      <c r="AI44" s="54">
        <v>102236.50937499999</v>
      </c>
      <c r="AJ44" s="54">
        <v>107951.91428571429</v>
      </c>
      <c r="AK44" s="54">
        <v>38492.880000000005</v>
      </c>
      <c r="AL44" s="54">
        <v>18903.348000000002</v>
      </c>
      <c r="AM44" s="54">
        <v>48396.648000000001</v>
      </c>
      <c r="AN44" s="54">
        <v>41015.649999999994</v>
      </c>
      <c r="AO44" s="54">
        <v>173323.45733333335</v>
      </c>
      <c r="AP44" s="54">
        <v>47006.517857142855</v>
      </c>
      <c r="AQ44" s="54">
        <v>38085.548461538463</v>
      </c>
      <c r="AR44" s="54">
        <v>121145.11111111111</v>
      </c>
      <c r="AS44" s="54">
        <v>220.74</v>
      </c>
      <c r="AT44" s="54">
        <v>22520.766875000001</v>
      </c>
      <c r="AU44" s="54">
        <v>387710.28823529411</v>
      </c>
      <c r="AV44" s="54">
        <v>251234.2737254902</v>
      </c>
      <c r="AW44" s="54">
        <v>638944.56196078437</v>
      </c>
      <c r="AX44" s="54">
        <v>7.6517857142857144</v>
      </c>
      <c r="AY44" s="54">
        <v>5.35</v>
      </c>
      <c r="AZ44" s="54">
        <v>2.9184782608695654</v>
      </c>
      <c r="BA44" s="54" t="s">
        <v>339</v>
      </c>
      <c r="BB44" s="54" t="s">
        <v>358</v>
      </c>
    </row>
    <row r="45" spans="1:54" x14ac:dyDescent="0.25">
      <c r="A45" s="54">
        <v>2910</v>
      </c>
      <c r="B45" s="54">
        <v>1974</v>
      </c>
      <c r="C45" s="88" t="s">
        <v>80</v>
      </c>
      <c r="D45" s="54" t="s">
        <v>7</v>
      </c>
      <c r="E45" s="54" t="s">
        <v>77</v>
      </c>
      <c r="F45" s="54" t="str">
        <f>_xlfn.CONCAT(Table13[[#This Row],[Geographic Scope]],": ",Table13[[#This Row],[Sub-Type/Focus]])</f>
        <v>Local: General</v>
      </c>
      <c r="G45" s="54" t="str">
        <f>_xlfn.CONCAT(Table13[[#This Row],[Geographic Scope]],": ",Table13[[#This Row],[Sub-Type/Focus]],": ",Table13[[#This Row],[Content Type]])</f>
        <v>Local: General: Explanatory &amp; Analysis</v>
      </c>
      <c r="H45" s="54" t="str">
        <f>_xlfn.CONCAT(Table13[[#This Row],[Geographic Scope]],": ",Table13[[#This Row],[Content Type]])</f>
        <v>Local: Explanatory &amp; Analysis</v>
      </c>
      <c r="I45" s="55">
        <v>457893.05</v>
      </c>
      <c r="J45" s="55">
        <v>329833.27173913043</v>
      </c>
      <c r="K45" s="55">
        <v>155019.73157894737</v>
      </c>
      <c r="L45" s="54">
        <v>236082.644</v>
      </c>
      <c r="M45" s="54">
        <v>25196.196</v>
      </c>
      <c r="N45" s="54">
        <v>99512.426818181804</v>
      </c>
      <c r="O45" s="54">
        <v>41620.973478260872</v>
      </c>
      <c r="P45" s="54">
        <v>18937.304347826088</v>
      </c>
      <c r="Q45" s="54">
        <v>34627.521739130432</v>
      </c>
      <c r="R45" s="54">
        <v>68657.25</v>
      </c>
      <c r="S45" s="54">
        <v>166293.03076923077</v>
      </c>
      <c r="T45" s="54">
        <v>28730.857142857141</v>
      </c>
      <c r="U45" s="54">
        <v>18363.142500000002</v>
      </c>
      <c r="V45" s="54">
        <v>119969.66666666667</v>
      </c>
      <c r="W45" s="54">
        <v>6696.5</v>
      </c>
      <c r="X45" s="54">
        <v>22615.821666666667</v>
      </c>
      <c r="Y45" s="54">
        <v>191722.71458333335</v>
      </c>
      <c r="Z45" s="54">
        <v>125721.23083333332</v>
      </c>
      <c r="AA45" s="54">
        <v>317443.94541666668</v>
      </c>
      <c r="AB45" s="54">
        <v>5.536458333333333</v>
      </c>
      <c r="AC45" s="54">
        <v>3.6847826086956523</v>
      </c>
      <c r="AD45" s="54">
        <v>3.0078125</v>
      </c>
      <c r="AE45" s="54">
        <v>506626.39920000004</v>
      </c>
      <c r="AF45" s="54">
        <v>357700.67571428569</v>
      </c>
      <c r="AG45" s="54">
        <v>185809.21071428573</v>
      </c>
      <c r="AH45" s="54">
        <v>218884.81978260871</v>
      </c>
      <c r="AI45" s="54">
        <v>102236.50937499999</v>
      </c>
      <c r="AJ45" s="54">
        <v>107951.91428571429</v>
      </c>
      <c r="AK45" s="54">
        <v>38492.880000000005</v>
      </c>
      <c r="AL45" s="54">
        <v>18903.348000000002</v>
      </c>
      <c r="AM45" s="54">
        <v>48396.648000000001</v>
      </c>
      <c r="AN45" s="54">
        <v>41015.649999999994</v>
      </c>
      <c r="AO45" s="54">
        <v>173323.45733333335</v>
      </c>
      <c r="AP45" s="54">
        <v>47006.517857142855</v>
      </c>
      <c r="AQ45" s="54">
        <v>38085.548461538463</v>
      </c>
      <c r="AR45" s="54">
        <v>121145.11111111111</v>
      </c>
      <c r="AS45" s="54">
        <v>220.74</v>
      </c>
      <c r="AT45" s="54">
        <v>22520.766875000001</v>
      </c>
      <c r="AU45" s="54">
        <v>387710.28823529411</v>
      </c>
      <c r="AV45" s="54">
        <v>251234.2737254902</v>
      </c>
      <c r="AW45" s="54">
        <v>638944.56196078437</v>
      </c>
      <c r="AX45" s="54">
        <v>7.6517857142857144</v>
      </c>
      <c r="AY45" s="54">
        <v>5.35</v>
      </c>
      <c r="AZ45" s="54">
        <v>2.9184782608695654</v>
      </c>
      <c r="BA45" s="54" t="s">
        <v>339</v>
      </c>
      <c r="BB45" s="54" t="s">
        <v>342</v>
      </c>
    </row>
    <row r="46" spans="1:54" x14ac:dyDescent="0.25">
      <c r="A46" s="54">
        <v>2940</v>
      </c>
      <c r="B46" s="54">
        <v>2018</v>
      </c>
      <c r="C46" s="88" t="s">
        <v>80</v>
      </c>
      <c r="D46" s="54" t="s">
        <v>7</v>
      </c>
      <c r="E46" s="54" t="s">
        <v>77</v>
      </c>
      <c r="F46" s="54" t="str">
        <f>_xlfn.CONCAT(Table13[[#This Row],[Geographic Scope]],": ",Table13[[#This Row],[Sub-Type/Focus]])</f>
        <v>Local: General</v>
      </c>
      <c r="G46" s="54" t="str">
        <f>_xlfn.CONCAT(Table13[[#This Row],[Geographic Scope]],": ",Table13[[#This Row],[Sub-Type/Focus]],": ",Table13[[#This Row],[Content Type]])</f>
        <v>Local: General: Explanatory &amp; Analysis</v>
      </c>
      <c r="H46" s="54" t="str">
        <f>_xlfn.CONCAT(Table13[[#This Row],[Geographic Scope]],": ",Table13[[#This Row],[Content Type]])</f>
        <v>Local: Explanatory &amp; Analysis</v>
      </c>
      <c r="I46" s="55">
        <v>457893.05</v>
      </c>
      <c r="J46" s="55">
        <v>329833.27173913043</v>
      </c>
      <c r="K46" s="55">
        <v>155019.73157894737</v>
      </c>
      <c r="L46" s="54">
        <v>236082.644</v>
      </c>
      <c r="M46" s="54">
        <v>25196.196</v>
      </c>
      <c r="N46" s="54">
        <v>99512.426818181804</v>
      </c>
      <c r="O46" s="54">
        <v>41620.973478260872</v>
      </c>
      <c r="P46" s="54">
        <v>18937.304347826088</v>
      </c>
      <c r="Q46" s="54">
        <v>34627.521739130432</v>
      </c>
      <c r="R46" s="54">
        <v>68657.25</v>
      </c>
      <c r="S46" s="54">
        <v>166293.03076923077</v>
      </c>
      <c r="T46" s="54">
        <v>28730.857142857141</v>
      </c>
      <c r="U46" s="54">
        <v>18363.142500000002</v>
      </c>
      <c r="V46" s="54">
        <v>119969.66666666667</v>
      </c>
      <c r="W46" s="54">
        <v>6696.5</v>
      </c>
      <c r="X46" s="54">
        <v>22615.821666666667</v>
      </c>
      <c r="Y46" s="54">
        <v>191722.71458333335</v>
      </c>
      <c r="Z46" s="54">
        <v>125721.23083333332</v>
      </c>
      <c r="AA46" s="54">
        <v>317443.94541666668</v>
      </c>
      <c r="AB46" s="54">
        <v>5.536458333333333</v>
      </c>
      <c r="AC46" s="54">
        <v>3.6847826086956523</v>
      </c>
      <c r="AD46" s="54">
        <v>3.0078125</v>
      </c>
      <c r="AE46" s="54">
        <v>506626.39920000004</v>
      </c>
      <c r="AF46" s="54">
        <v>357700.67571428569</v>
      </c>
      <c r="AG46" s="54">
        <v>185809.21071428573</v>
      </c>
      <c r="AH46" s="54">
        <v>218884.81978260871</v>
      </c>
      <c r="AI46" s="54">
        <v>102236.50937499999</v>
      </c>
      <c r="AJ46" s="54">
        <v>107951.91428571429</v>
      </c>
      <c r="AK46" s="54">
        <v>38492.880000000005</v>
      </c>
      <c r="AL46" s="54">
        <v>18903.348000000002</v>
      </c>
      <c r="AM46" s="54">
        <v>48396.648000000001</v>
      </c>
      <c r="AN46" s="54">
        <v>41015.649999999994</v>
      </c>
      <c r="AO46" s="54">
        <v>173323.45733333335</v>
      </c>
      <c r="AP46" s="54">
        <v>47006.517857142855</v>
      </c>
      <c r="AQ46" s="54">
        <v>38085.548461538463</v>
      </c>
      <c r="AR46" s="54">
        <v>121145.11111111111</v>
      </c>
      <c r="AS46" s="54">
        <v>220.74</v>
      </c>
      <c r="AT46" s="54">
        <v>22520.766875000001</v>
      </c>
      <c r="AU46" s="54">
        <v>387710.28823529411</v>
      </c>
      <c r="AV46" s="54">
        <v>251234.2737254902</v>
      </c>
      <c r="AW46" s="54">
        <v>638944.56196078437</v>
      </c>
      <c r="AX46" s="54">
        <v>7.6517857142857144</v>
      </c>
      <c r="AY46" s="54">
        <v>5.35</v>
      </c>
      <c r="AZ46" s="54">
        <v>2.9184782608695654</v>
      </c>
      <c r="BA46" s="54" t="s">
        <v>342</v>
      </c>
    </row>
    <row r="47" spans="1:54" x14ac:dyDescent="0.25">
      <c r="A47" s="54">
        <v>2943</v>
      </c>
      <c r="B47" s="54">
        <v>2014</v>
      </c>
      <c r="C47" s="88" t="s">
        <v>80</v>
      </c>
      <c r="D47" s="54" t="s">
        <v>7</v>
      </c>
      <c r="E47" s="54" t="s">
        <v>77</v>
      </c>
      <c r="F47" s="54" t="str">
        <f>_xlfn.CONCAT(Table13[[#This Row],[Geographic Scope]],": ",Table13[[#This Row],[Sub-Type/Focus]])</f>
        <v>Local: General</v>
      </c>
      <c r="G47" s="54" t="str">
        <f>_xlfn.CONCAT(Table13[[#This Row],[Geographic Scope]],": ",Table13[[#This Row],[Sub-Type/Focus]],": ",Table13[[#This Row],[Content Type]])</f>
        <v>Local: General: Explanatory &amp; Analysis</v>
      </c>
      <c r="H47" s="54" t="str">
        <f>_xlfn.CONCAT(Table13[[#This Row],[Geographic Scope]],": ",Table13[[#This Row],[Content Type]])</f>
        <v>Local: Explanatory &amp; Analysis</v>
      </c>
      <c r="I47" s="55">
        <v>457893.05</v>
      </c>
      <c r="J47" s="55">
        <v>329833.27173913043</v>
      </c>
      <c r="K47" s="55">
        <v>155019.73157894737</v>
      </c>
      <c r="L47" s="54">
        <v>236082.644</v>
      </c>
      <c r="M47" s="54">
        <v>25196.196</v>
      </c>
      <c r="N47" s="54">
        <v>99512.426818181804</v>
      </c>
      <c r="O47" s="54">
        <v>41620.973478260872</v>
      </c>
      <c r="P47" s="54">
        <v>18937.304347826088</v>
      </c>
      <c r="Q47" s="54">
        <v>34627.521739130432</v>
      </c>
      <c r="R47" s="54">
        <v>68657.25</v>
      </c>
      <c r="S47" s="54">
        <v>166293.03076923077</v>
      </c>
      <c r="T47" s="54">
        <v>28730.857142857141</v>
      </c>
      <c r="U47" s="54">
        <v>18363.142500000002</v>
      </c>
      <c r="V47" s="54">
        <v>119969.66666666667</v>
      </c>
      <c r="W47" s="54">
        <v>6696.5</v>
      </c>
      <c r="X47" s="54">
        <v>22615.821666666667</v>
      </c>
      <c r="Y47" s="54">
        <v>191722.71458333335</v>
      </c>
      <c r="Z47" s="54">
        <v>125721.23083333332</v>
      </c>
      <c r="AA47" s="54">
        <v>317443.94541666668</v>
      </c>
      <c r="AB47" s="54">
        <v>5.536458333333333</v>
      </c>
      <c r="AC47" s="54">
        <v>3.6847826086956523</v>
      </c>
      <c r="AD47" s="54">
        <v>3.0078125</v>
      </c>
      <c r="AE47" s="54">
        <v>506626.39920000004</v>
      </c>
      <c r="AF47" s="54">
        <v>357700.67571428569</v>
      </c>
      <c r="AG47" s="54">
        <v>185809.21071428573</v>
      </c>
      <c r="AH47" s="54">
        <v>218884.81978260871</v>
      </c>
      <c r="AI47" s="54">
        <v>102236.50937499999</v>
      </c>
      <c r="AJ47" s="54">
        <v>107951.91428571429</v>
      </c>
      <c r="AK47" s="54">
        <v>38492.880000000005</v>
      </c>
      <c r="AL47" s="54">
        <v>18903.348000000002</v>
      </c>
      <c r="AM47" s="54">
        <v>48396.648000000001</v>
      </c>
      <c r="AN47" s="54">
        <v>41015.649999999994</v>
      </c>
      <c r="AO47" s="54">
        <v>173323.45733333335</v>
      </c>
      <c r="AP47" s="54">
        <v>47006.517857142855</v>
      </c>
      <c r="AQ47" s="54">
        <v>38085.548461538463</v>
      </c>
      <c r="AR47" s="54">
        <v>121145.11111111111</v>
      </c>
      <c r="AS47" s="54">
        <v>220.74</v>
      </c>
      <c r="AT47" s="54">
        <v>22520.766875000001</v>
      </c>
      <c r="AU47" s="54">
        <v>387710.28823529411</v>
      </c>
      <c r="AV47" s="54">
        <v>251234.2737254902</v>
      </c>
      <c r="AW47" s="54">
        <v>638944.56196078437</v>
      </c>
      <c r="AX47" s="54">
        <v>7.6517857142857144</v>
      </c>
      <c r="AY47" s="54">
        <v>5.35</v>
      </c>
      <c r="AZ47" s="54">
        <v>2.9184782608695654</v>
      </c>
      <c r="BA47" s="54" t="s">
        <v>342</v>
      </c>
    </row>
    <row r="48" spans="1:54" x14ac:dyDescent="0.25">
      <c r="A48" s="54">
        <v>3041</v>
      </c>
      <c r="B48" s="54">
        <v>2020</v>
      </c>
      <c r="C48" s="88" t="s">
        <v>80</v>
      </c>
      <c r="D48" s="54" t="s">
        <v>7</v>
      </c>
      <c r="E48" s="54" t="s">
        <v>77</v>
      </c>
      <c r="F48" s="54" t="str">
        <f>_xlfn.CONCAT(Table13[[#This Row],[Geographic Scope]],": ",Table13[[#This Row],[Sub-Type/Focus]])</f>
        <v>Local: General</v>
      </c>
      <c r="G48" s="54" t="str">
        <f>_xlfn.CONCAT(Table13[[#This Row],[Geographic Scope]],": ",Table13[[#This Row],[Sub-Type/Focus]],": ",Table13[[#This Row],[Content Type]])</f>
        <v>Local: General: Explanatory &amp; Analysis</v>
      </c>
      <c r="H48" s="54" t="str">
        <f>_xlfn.CONCAT(Table13[[#This Row],[Geographic Scope]],": ",Table13[[#This Row],[Content Type]])</f>
        <v>Local: Explanatory &amp; Analysis</v>
      </c>
      <c r="I48" s="55">
        <v>457893.05</v>
      </c>
      <c r="J48" s="55">
        <v>329833.27173913043</v>
      </c>
      <c r="K48" s="55">
        <v>155019.73157894737</v>
      </c>
      <c r="L48" s="54">
        <v>236082.644</v>
      </c>
      <c r="M48" s="54">
        <v>25196.196</v>
      </c>
      <c r="N48" s="54">
        <v>99512.426818181804</v>
      </c>
      <c r="O48" s="54">
        <v>41620.973478260872</v>
      </c>
      <c r="P48" s="54">
        <v>18937.304347826088</v>
      </c>
      <c r="Q48" s="54">
        <v>34627.521739130432</v>
      </c>
      <c r="R48" s="54">
        <v>68657.25</v>
      </c>
      <c r="S48" s="54">
        <v>166293.03076923077</v>
      </c>
      <c r="T48" s="54">
        <v>28730.857142857141</v>
      </c>
      <c r="U48" s="54">
        <v>18363.142500000002</v>
      </c>
      <c r="V48" s="54">
        <v>119969.66666666667</v>
      </c>
      <c r="W48" s="54">
        <v>6696.5</v>
      </c>
      <c r="X48" s="54">
        <v>22615.821666666667</v>
      </c>
      <c r="Y48" s="54">
        <v>191722.71458333335</v>
      </c>
      <c r="Z48" s="54">
        <v>125721.23083333332</v>
      </c>
      <c r="AA48" s="54">
        <v>317443.94541666668</v>
      </c>
      <c r="AB48" s="54">
        <v>5.536458333333333</v>
      </c>
      <c r="AC48" s="54">
        <v>3.6847826086956523</v>
      </c>
      <c r="AD48" s="54">
        <v>3.0078125</v>
      </c>
      <c r="AE48" s="54">
        <v>506626.39920000004</v>
      </c>
      <c r="AF48" s="54">
        <v>357700.67571428569</v>
      </c>
      <c r="AG48" s="54">
        <v>185809.21071428573</v>
      </c>
      <c r="AH48" s="54">
        <v>218884.81978260871</v>
      </c>
      <c r="AI48" s="54">
        <v>102236.50937499999</v>
      </c>
      <c r="AJ48" s="54">
        <v>107951.91428571429</v>
      </c>
      <c r="AK48" s="54">
        <v>38492.880000000005</v>
      </c>
      <c r="AL48" s="54">
        <v>18903.348000000002</v>
      </c>
      <c r="AM48" s="54">
        <v>48396.648000000001</v>
      </c>
      <c r="AN48" s="54">
        <v>41015.649999999994</v>
      </c>
      <c r="AO48" s="54">
        <v>173323.45733333335</v>
      </c>
      <c r="AP48" s="54">
        <v>47006.517857142855</v>
      </c>
      <c r="AQ48" s="54">
        <v>38085.548461538463</v>
      </c>
      <c r="AR48" s="54">
        <v>121145.11111111111</v>
      </c>
      <c r="AS48" s="54">
        <v>220.74</v>
      </c>
      <c r="AT48" s="54">
        <v>22520.766875000001</v>
      </c>
      <c r="AU48" s="54">
        <v>387710.28823529411</v>
      </c>
      <c r="AV48" s="54">
        <v>251234.2737254902</v>
      </c>
      <c r="AW48" s="54">
        <v>638944.56196078437</v>
      </c>
      <c r="AX48" s="54">
        <v>7.6517857142857144</v>
      </c>
      <c r="AY48" s="54">
        <v>5.35</v>
      </c>
      <c r="AZ48" s="54">
        <v>2.9184782608695654</v>
      </c>
      <c r="BA48" s="54" t="s">
        <v>342</v>
      </c>
      <c r="BB48" s="54" t="s">
        <v>347</v>
      </c>
    </row>
    <row r="49" spans="1:54" x14ac:dyDescent="0.25">
      <c r="A49" s="54">
        <v>3064</v>
      </c>
      <c r="B49" s="54">
        <v>2017</v>
      </c>
      <c r="C49" s="88" t="s">
        <v>80</v>
      </c>
      <c r="D49" s="54" t="s">
        <v>7</v>
      </c>
      <c r="E49" s="54" t="s">
        <v>77</v>
      </c>
      <c r="F49" s="54" t="str">
        <f>_xlfn.CONCAT(Table13[[#This Row],[Geographic Scope]],": ",Table13[[#This Row],[Sub-Type/Focus]])</f>
        <v>Local: General</v>
      </c>
      <c r="G49" s="54" t="str">
        <f>_xlfn.CONCAT(Table13[[#This Row],[Geographic Scope]],": ",Table13[[#This Row],[Sub-Type/Focus]],": ",Table13[[#This Row],[Content Type]])</f>
        <v>Local: General: Explanatory &amp; Analysis</v>
      </c>
      <c r="H49" s="54" t="str">
        <f>_xlfn.CONCAT(Table13[[#This Row],[Geographic Scope]],": ",Table13[[#This Row],[Content Type]])</f>
        <v>Local: Explanatory &amp; Analysis</v>
      </c>
      <c r="I49" s="55">
        <v>457893.05</v>
      </c>
      <c r="J49" s="55">
        <v>329833.27173913043</v>
      </c>
      <c r="K49" s="55">
        <v>155019.73157894737</v>
      </c>
      <c r="L49" s="54">
        <v>236082.644</v>
      </c>
      <c r="M49" s="54">
        <v>25196.196</v>
      </c>
      <c r="N49" s="54">
        <v>99512.426818181804</v>
      </c>
      <c r="O49" s="54">
        <v>41620.973478260872</v>
      </c>
      <c r="P49" s="54">
        <v>18937.304347826088</v>
      </c>
      <c r="Q49" s="54">
        <v>34627.521739130432</v>
      </c>
      <c r="R49" s="54">
        <v>68657.25</v>
      </c>
      <c r="S49" s="54">
        <v>166293.03076923077</v>
      </c>
      <c r="T49" s="54">
        <v>28730.857142857141</v>
      </c>
      <c r="U49" s="54">
        <v>18363.142500000002</v>
      </c>
      <c r="V49" s="54">
        <v>119969.66666666667</v>
      </c>
      <c r="W49" s="54">
        <v>6696.5</v>
      </c>
      <c r="X49" s="54">
        <v>22615.821666666667</v>
      </c>
      <c r="Y49" s="54">
        <v>191722.71458333335</v>
      </c>
      <c r="Z49" s="54">
        <v>125721.23083333332</v>
      </c>
      <c r="AA49" s="54">
        <v>317443.94541666668</v>
      </c>
      <c r="AB49" s="54">
        <v>5.536458333333333</v>
      </c>
      <c r="AC49" s="54">
        <v>3.6847826086956523</v>
      </c>
      <c r="AD49" s="54">
        <v>3.0078125</v>
      </c>
      <c r="AE49" s="54">
        <v>506626.39920000004</v>
      </c>
      <c r="AF49" s="54">
        <v>357700.67571428569</v>
      </c>
      <c r="AG49" s="54">
        <v>185809.21071428573</v>
      </c>
      <c r="AH49" s="54">
        <v>218884.81978260871</v>
      </c>
      <c r="AI49" s="54">
        <v>102236.50937499999</v>
      </c>
      <c r="AJ49" s="54">
        <v>107951.91428571429</v>
      </c>
      <c r="AK49" s="54">
        <v>38492.880000000005</v>
      </c>
      <c r="AL49" s="54">
        <v>18903.348000000002</v>
      </c>
      <c r="AM49" s="54">
        <v>48396.648000000001</v>
      </c>
      <c r="AN49" s="54">
        <v>41015.649999999994</v>
      </c>
      <c r="AO49" s="54">
        <v>173323.45733333335</v>
      </c>
      <c r="AP49" s="54">
        <v>47006.517857142855</v>
      </c>
      <c r="AQ49" s="54">
        <v>38085.548461538463</v>
      </c>
      <c r="AR49" s="54">
        <v>121145.11111111111</v>
      </c>
      <c r="AS49" s="54">
        <v>220.74</v>
      </c>
      <c r="AT49" s="54">
        <v>22520.766875000001</v>
      </c>
      <c r="AU49" s="54">
        <v>387710.28823529411</v>
      </c>
      <c r="AV49" s="54">
        <v>251234.2737254902</v>
      </c>
      <c r="AW49" s="54">
        <v>638944.56196078437</v>
      </c>
      <c r="AX49" s="54">
        <v>7.6517857142857144</v>
      </c>
      <c r="AY49" s="54">
        <v>5.35</v>
      </c>
      <c r="AZ49" s="54">
        <v>2.9184782608695654</v>
      </c>
      <c r="BA49" s="54" t="s">
        <v>342</v>
      </c>
    </row>
    <row r="50" spans="1:54" x14ac:dyDescent="0.25">
      <c r="A50" s="54">
        <v>6819</v>
      </c>
      <c r="B50" s="54">
        <v>1991</v>
      </c>
      <c r="C50" s="88" t="s">
        <v>80</v>
      </c>
      <c r="D50" s="54" t="s">
        <v>7</v>
      </c>
      <c r="E50" s="54" t="s">
        <v>77</v>
      </c>
      <c r="F50" s="54" t="str">
        <f>_xlfn.CONCAT(Table13[[#This Row],[Geographic Scope]],": ",Table13[[#This Row],[Sub-Type/Focus]])</f>
        <v>Local: General</v>
      </c>
      <c r="G50" s="54" t="str">
        <f>_xlfn.CONCAT(Table13[[#This Row],[Geographic Scope]],": ",Table13[[#This Row],[Sub-Type/Focus]],": ",Table13[[#This Row],[Content Type]])</f>
        <v>Local: General: Explanatory &amp; Analysis</v>
      </c>
      <c r="H50" s="54" t="str">
        <f>_xlfn.CONCAT(Table13[[#This Row],[Geographic Scope]],": ",Table13[[#This Row],[Content Type]])</f>
        <v>Local: Explanatory &amp; Analysis</v>
      </c>
      <c r="I50" s="55">
        <v>457893.05</v>
      </c>
      <c r="J50" s="55">
        <v>329833.27173913043</v>
      </c>
      <c r="K50" s="55">
        <v>155019.73157894737</v>
      </c>
      <c r="L50" s="54">
        <v>236082.644</v>
      </c>
      <c r="M50" s="54">
        <v>25196.196</v>
      </c>
      <c r="N50" s="54">
        <v>99512.426818181804</v>
      </c>
      <c r="O50" s="54">
        <v>41620.973478260872</v>
      </c>
      <c r="P50" s="54">
        <v>18937.304347826088</v>
      </c>
      <c r="Q50" s="54">
        <v>34627.521739130432</v>
      </c>
      <c r="R50" s="54">
        <v>68657.25</v>
      </c>
      <c r="S50" s="54">
        <v>166293.03076923077</v>
      </c>
      <c r="T50" s="54">
        <v>28730.857142857141</v>
      </c>
      <c r="U50" s="54">
        <v>18363.142500000002</v>
      </c>
      <c r="V50" s="54">
        <v>119969.66666666667</v>
      </c>
      <c r="W50" s="54">
        <v>6696.5</v>
      </c>
      <c r="X50" s="54">
        <v>22615.821666666667</v>
      </c>
      <c r="Y50" s="54">
        <v>191722.71458333335</v>
      </c>
      <c r="Z50" s="54">
        <v>125721.23083333332</v>
      </c>
      <c r="AA50" s="54">
        <v>317443.94541666668</v>
      </c>
      <c r="AB50" s="54">
        <v>5.536458333333333</v>
      </c>
      <c r="AC50" s="54">
        <v>3.6847826086956523</v>
      </c>
      <c r="AD50" s="54">
        <v>3.0078125</v>
      </c>
      <c r="AE50" s="54">
        <v>506626.39920000004</v>
      </c>
      <c r="AF50" s="54">
        <v>357700.67571428569</v>
      </c>
      <c r="AG50" s="54">
        <v>185809.21071428573</v>
      </c>
      <c r="AH50" s="54">
        <v>218884.81978260871</v>
      </c>
      <c r="AI50" s="54">
        <v>102236.50937499999</v>
      </c>
      <c r="AJ50" s="54">
        <v>107951.91428571429</v>
      </c>
      <c r="AK50" s="54">
        <v>38492.880000000005</v>
      </c>
      <c r="AL50" s="54">
        <v>18903.348000000002</v>
      </c>
      <c r="AM50" s="54">
        <v>48396.648000000001</v>
      </c>
      <c r="AN50" s="54">
        <v>41015.649999999994</v>
      </c>
      <c r="AO50" s="54">
        <v>173323.45733333335</v>
      </c>
      <c r="AP50" s="54">
        <v>47006.517857142855</v>
      </c>
      <c r="AQ50" s="54">
        <v>38085.548461538463</v>
      </c>
      <c r="AR50" s="54">
        <v>121145.11111111111</v>
      </c>
      <c r="AS50" s="54">
        <v>220.74</v>
      </c>
      <c r="AT50" s="54">
        <v>22520.766875000001</v>
      </c>
      <c r="AU50" s="54">
        <v>387710.28823529411</v>
      </c>
      <c r="AV50" s="54">
        <v>251234.2737254902</v>
      </c>
      <c r="AW50" s="54">
        <v>638944.56196078437</v>
      </c>
      <c r="AX50" s="54">
        <v>7.6517857142857144</v>
      </c>
      <c r="AY50" s="54">
        <v>5.35</v>
      </c>
      <c r="AZ50" s="54">
        <v>2.9184782608695654</v>
      </c>
      <c r="BA50" s="54" t="s">
        <v>339</v>
      </c>
      <c r="BB50" s="54" t="s">
        <v>359</v>
      </c>
    </row>
    <row r="51" spans="1:54" x14ac:dyDescent="0.25">
      <c r="A51" s="54">
        <v>6822</v>
      </c>
      <c r="B51" s="54">
        <v>2018</v>
      </c>
      <c r="C51" s="88" t="s">
        <v>80</v>
      </c>
      <c r="D51" s="54" t="s">
        <v>7</v>
      </c>
      <c r="E51" s="54" t="s">
        <v>77</v>
      </c>
      <c r="F51" s="54" t="str">
        <f>_xlfn.CONCAT(Table13[[#This Row],[Geographic Scope]],": ",Table13[[#This Row],[Sub-Type/Focus]])</f>
        <v>Local: General</v>
      </c>
      <c r="G51" s="54" t="str">
        <f>_xlfn.CONCAT(Table13[[#This Row],[Geographic Scope]],": ",Table13[[#This Row],[Sub-Type/Focus]],": ",Table13[[#This Row],[Content Type]])</f>
        <v>Local: General: Explanatory &amp; Analysis</v>
      </c>
      <c r="H51" s="54" t="str">
        <f>_xlfn.CONCAT(Table13[[#This Row],[Geographic Scope]],": ",Table13[[#This Row],[Content Type]])</f>
        <v>Local: Explanatory &amp; Analysis</v>
      </c>
      <c r="I51" s="55">
        <v>457893.05</v>
      </c>
      <c r="J51" s="55">
        <v>329833.27173913043</v>
      </c>
      <c r="K51" s="55">
        <v>155019.73157894737</v>
      </c>
      <c r="L51" s="54">
        <v>236082.644</v>
      </c>
      <c r="M51" s="54">
        <v>25196.196</v>
      </c>
      <c r="N51" s="54">
        <v>99512.426818181804</v>
      </c>
      <c r="O51" s="54">
        <v>41620.973478260872</v>
      </c>
      <c r="P51" s="54">
        <v>18937.304347826088</v>
      </c>
      <c r="Q51" s="54">
        <v>34627.521739130432</v>
      </c>
      <c r="R51" s="54">
        <v>68657.25</v>
      </c>
      <c r="S51" s="54">
        <v>166293.03076923077</v>
      </c>
      <c r="T51" s="54">
        <v>28730.857142857141</v>
      </c>
      <c r="U51" s="54">
        <v>18363.142500000002</v>
      </c>
      <c r="V51" s="54">
        <v>119969.66666666667</v>
      </c>
      <c r="W51" s="54">
        <v>6696.5</v>
      </c>
      <c r="X51" s="54">
        <v>22615.821666666667</v>
      </c>
      <c r="Y51" s="54">
        <v>191722.71458333335</v>
      </c>
      <c r="Z51" s="54">
        <v>125721.23083333332</v>
      </c>
      <c r="AA51" s="54">
        <v>317443.94541666668</v>
      </c>
      <c r="AB51" s="54">
        <v>5.536458333333333</v>
      </c>
      <c r="AC51" s="54">
        <v>3.6847826086956523</v>
      </c>
      <c r="AD51" s="54">
        <v>3.0078125</v>
      </c>
      <c r="AE51" s="54">
        <v>506626.39920000004</v>
      </c>
      <c r="AF51" s="54">
        <v>357700.67571428569</v>
      </c>
      <c r="AG51" s="54">
        <v>185809.21071428573</v>
      </c>
      <c r="AH51" s="54">
        <v>218884.81978260871</v>
      </c>
      <c r="AI51" s="54">
        <v>102236.50937499999</v>
      </c>
      <c r="AJ51" s="54">
        <v>107951.91428571429</v>
      </c>
      <c r="AK51" s="54">
        <v>38492.880000000005</v>
      </c>
      <c r="AL51" s="54">
        <v>18903.348000000002</v>
      </c>
      <c r="AM51" s="54">
        <v>48396.648000000001</v>
      </c>
      <c r="AN51" s="54">
        <v>41015.649999999994</v>
      </c>
      <c r="AO51" s="54">
        <v>173323.45733333335</v>
      </c>
      <c r="AP51" s="54">
        <v>47006.517857142855</v>
      </c>
      <c r="AQ51" s="54">
        <v>38085.548461538463</v>
      </c>
      <c r="AR51" s="54">
        <v>121145.11111111111</v>
      </c>
      <c r="AS51" s="54">
        <v>220.74</v>
      </c>
      <c r="AT51" s="54">
        <v>22520.766875000001</v>
      </c>
      <c r="AU51" s="54">
        <v>387710.28823529411</v>
      </c>
      <c r="AV51" s="54">
        <v>251234.2737254902</v>
      </c>
      <c r="AW51" s="54">
        <v>638944.56196078437</v>
      </c>
      <c r="AX51" s="54">
        <v>7.6517857142857144</v>
      </c>
      <c r="AY51" s="54">
        <v>5.35</v>
      </c>
      <c r="AZ51" s="54">
        <v>2.9184782608695654</v>
      </c>
      <c r="BA51" s="54" t="s">
        <v>342</v>
      </c>
    </row>
    <row r="52" spans="1:54" x14ac:dyDescent="0.25">
      <c r="A52" s="54">
        <v>6842</v>
      </c>
      <c r="B52" s="54">
        <v>2020</v>
      </c>
      <c r="C52" s="88" t="s">
        <v>80</v>
      </c>
      <c r="D52" s="54" t="s">
        <v>7</v>
      </c>
      <c r="E52" s="54" t="s">
        <v>77</v>
      </c>
      <c r="F52" s="54" t="str">
        <f>_xlfn.CONCAT(Table13[[#This Row],[Geographic Scope]],": ",Table13[[#This Row],[Sub-Type/Focus]])</f>
        <v>Local: General</v>
      </c>
      <c r="G52" s="54" t="str">
        <f>_xlfn.CONCAT(Table13[[#This Row],[Geographic Scope]],": ",Table13[[#This Row],[Sub-Type/Focus]],": ",Table13[[#This Row],[Content Type]])</f>
        <v>Local: General: Explanatory &amp; Analysis</v>
      </c>
      <c r="H52" s="54" t="str">
        <f>_xlfn.CONCAT(Table13[[#This Row],[Geographic Scope]],": ",Table13[[#This Row],[Content Type]])</f>
        <v>Local: Explanatory &amp; Analysis</v>
      </c>
      <c r="I52" s="55">
        <v>457893.05</v>
      </c>
      <c r="J52" s="55">
        <v>329833.27173913043</v>
      </c>
      <c r="K52" s="55">
        <v>155019.73157894737</v>
      </c>
      <c r="L52" s="54">
        <v>236082.644</v>
      </c>
      <c r="M52" s="54">
        <v>25196.196</v>
      </c>
      <c r="N52" s="54">
        <v>99512.426818181804</v>
      </c>
      <c r="O52" s="54">
        <v>41620.973478260872</v>
      </c>
      <c r="P52" s="54">
        <v>18937.304347826088</v>
      </c>
      <c r="Q52" s="54">
        <v>34627.521739130432</v>
      </c>
      <c r="R52" s="54">
        <v>68657.25</v>
      </c>
      <c r="S52" s="54">
        <v>166293.03076923077</v>
      </c>
      <c r="T52" s="54">
        <v>28730.857142857141</v>
      </c>
      <c r="U52" s="54">
        <v>18363.142500000002</v>
      </c>
      <c r="V52" s="54">
        <v>119969.66666666667</v>
      </c>
      <c r="W52" s="54">
        <v>6696.5</v>
      </c>
      <c r="X52" s="54">
        <v>22615.821666666667</v>
      </c>
      <c r="Y52" s="54">
        <v>191722.71458333335</v>
      </c>
      <c r="Z52" s="54">
        <v>125721.23083333332</v>
      </c>
      <c r="AA52" s="54">
        <v>317443.94541666668</v>
      </c>
      <c r="AB52" s="54">
        <v>5.536458333333333</v>
      </c>
      <c r="AC52" s="54">
        <v>3.6847826086956523</v>
      </c>
      <c r="AD52" s="54">
        <v>3.0078125</v>
      </c>
      <c r="AE52" s="54">
        <v>506626.39920000004</v>
      </c>
      <c r="AF52" s="54">
        <v>357700.67571428569</v>
      </c>
      <c r="AG52" s="54">
        <v>185809.21071428573</v>
      </c>
      <c r="AH52" s="54">
        <v>218884.81978260871</v>
      </c>
      <c r="AI52" s="54">
        <v>102236.50937499999</v>
      </c>
      <c r="AJ52" s="54">
        <v>107951.91428571429</v>
      </c>
      <c r="AK52" s="54">
        <v>38492.880000000005</v>
      </c>
      <c r="AL52" s="54">
        <v>18903.348000000002</v>
      </c>
      <c r="AM52" s="54">
        <v>48396.648000000001</v>
      </c>
      <c r="AN52" s="54">
        <v>41015.649999999994</v>
      </c>
      <c r="AO52" s="54">
        <v>173323.45733333335</v>
      </c>
      <c r="AP52" s="54">
        <v>47006.517857142855</v>
      </c>
      <c r="AQ52" s="54">
        <v>38085.548461538463</v>
      </c>
      <c r="AR52" s="54">
        <v>121145.11111111111</v>
      </c>
      <c r="AS52" s="54">
        <v>220.74</v>
      </c>
      <c r="AT52" s="54">
        <v>22520.766875000001</v>
      </c>
      <c r="AU52" s="54">
        <v>387710.28823529411</v>
      </c>
      <c r="AV52" s="54">
        <v>251234.2737254902</v>
      </c>
      <c r="AW52" s="54">
        <v>638944.56196078437</v>
      </c>
      <c r="AX52" s="54">
        <v>7.6517857142857144</v>
      </c>
      <c r="AY52" s="54">
        <v>5.35</v>
      </c>
      <c r="AZ52" s="54">
        <v>2.9184782608695654</v>
      </c>
      <c r="BA52" s="54" t="s">
        <v>343</v>
      </c>
      <c r="BB52" s="54" t="s">
        <v>346</v>
      </c>
    </row>
    <row r="53" spans="1:54" x14ac:dyDescent="0.25">
      <c r="A53" s="54">
        <v>330</v>
      </c>
      <c r="B53" s="54">
        <v>1999</v>
      </c>
      <c r="C53" s="88" t="s">
        <v>80</v>
      </c>
      <c r="D53" s="54" t="s">
        <v>7</v>
      </c>
      <c r="E53" s="54" t="s">
        <v>78</v>
      </c>
      <c r="F53" s="54" t="str">
        <f>_xlfn.CONCAT(Table13[[#This Row],[Geographic Scope]],": ",Table13[[#This Row],[Sub-Type/Focus]])</f>
        <v>Local: Multiple Related Topics</v>
      </c>
      <c r="G53" s="54" t="str">
        <f>_xlfn.CONCAT(Table13[[#This Row],[Geographic Scope]],": ",Table13[[#This Row],[Sub-Type/Focus]],": ",Table13[[#This Row],[Content Type]])</f>
        <v>Local: Multiple Related Topics: Explanatory &amp; Analysis</v>
      </c>
      <c r="H53" s="54" t="str">
        <f>_xlfn.CONCAT(Table13[[#This Row],[Geographic Scope]],": ",Table13[[#This Row],[Content Type]])</f>
        <v>Local: Explanatory &amp; Analysis</v>
      </c>
      <c r="I53" s="55">
        <v>457893.05</v>
      </c>
      <c r="J53" s="55">
        <v>329833.27173913043</v>
      </c>
      <c r="K53" s="55">
        <v>155019.73157894737</v>
      </c>
      <c r="L53" s="54">
        <v>236082.644</v>
      </c>
      <c r="M53" s="54">
        <v>25196.196</v>
      </c>
      <c r="N53" s="54">
        <v>99512.426818181804</v>
      </c>
      <c r="O53" s="54">
        <v>41620.973478260872</v>
      </c>
      <c r="P53" s="54">
        <v>18937.304347826088</v>
      </c>
      <c r="Q53" s="54">
        <v>34627.521739130432</v>
      </c>
      <c r="R53" s="54">
        <v>68657.25</v>
      </c>
      <c r="S53" s="54">
        <v>166293.03076923077</v>
      </c>
      <c r="T53" s="54">
        <v>28730.857142857141</v>
      </c>
      <c r="U53" s="54">
        <v>18363.142500000002</v>
      </c>
      <c r="V53" s="54">
        <v>119969.66666666667</v>
      </c>
      <c r="W53" s="54">
        <v>6696.5</v>
      </c>
      <c r="X53" s="54">
        <v>22615.821666666667</v>
      </c>
      <c r="Y53" s="54">
        <v>191722.71458333335</v>
      </c>
      <c r="Z53" s="54">
        <v>125721.23083333332</v>
      </c>
      <c r="AA53" s="54">
        <v>317443.94541666668</v>
      </c>
      <c r="AB53" s="54">
        <v>5.536458333333333</v>
      </c>
      <c r="AC53" s="54">
        <v>3.6847826086956523</v>
      </c>
      <c r="AD53" s="54">
        <v>3.0078125</v>
      </c>
      <c r="AE53" s="54">
        <v>603376.88636363635</v>
      </c>
      <c r="AF53" s="54">
        <v>550974.69818181824</v>
      </c>
      <c r="AG53" s="54">
        <v>67814.596470588236</v>
      </c>
      <c r="AH53" s="54">
        <v>401868.64399999997</v>
      </c>
      <c r="AI53" s="54">
        <v>100862.508</v>
      </c>
      <c r="AJ53" s="54">
        <v>157759.90190476191</v>
      </c>
      <c r="AK53" s="54">
        <v>35004.997272727269</v>
      </c>
      <c r="AL53" s="54">
        <v>24071.454545454544</v>
      </c>
      <c r="AM53" s="54">
        <v>91512.545454545456</v>
      </c>
      <c r="AN53" s="54">
        <v>44466.666666666664</v>
      </c>
      <c r="AO53" s="54">
        <v>15814.779999999999</v>
      </c>
      <c r="AP53" s="54">
        <v>35120.166666666664</v>
      </c>
      <c r="AQ53" s="54">
        <v>22715</v>
      </c>
      <c r="AR53" s="54">
        <v>212379</v>
      </c>
      <c r="AS53" s="54">
        <v>41965</v>
      </c>
      <c r="AT53" s="54">
        <v>56979.208571428571</v>
      </c>
      <c r="AU53" s="54">
        <v>280046.55809523811</v>
      </c>
      <c r="AV53" s="54">
        <v>195255.61380952378</v>
      </c>
      <c r="AW53" s="54">
        <v>475302.17190476198</v>
      </c>
      <c r="AX53" s="54">
        <v>6.1977272727272741</v>
      </c>
      <c r="AY53" s="54">
        <v>4.7613636363636367</v>
      </c>
      <c r="AZ53" s="54">
        <v>2.1066666666666669</v>
      </c>
      <c r="BA53" s="54" t="s">
        <v>342</v>
      </c>
    </row>
    <row r="54" spans="1:54" x14ac:dyDescent="0.25">
      <c r="A54" s="54">
        <v>347</v>
      </c>
      <c r="B54" s="54">
        <v>2005</v>
      </c>
      <c r="C54" s="88" t="s">
        <v>80</v>
      </c>
      <c r="D54" s="54" t="s">
        <v>7</v>
      </c>
      <c r="E54" s="54" t="s">
        <v>78</v>
      </c>
      <c r="F54" s="54" t="str">
        <f>_xlfn.CONCAT(Table13[[#This Row],[Geographic Scope]],": ",Table13[[#This Row],[Sub-Type/Focus]])</f>
        <v>Local: Multiple Related Topics</v>
      </c>
      <c r="G54" s="54" t="str">
        <f>_xlfn.CONCAT(Table13[[#This Row],[Geographic Scope]],": ",Table13[[#This Row],[Sub-Type/Focus]],": ",Table13[[#This Row],[Content Type]])</f>
        <v>Local: Multiple Related Topics: Explanatory &amp; Analysis</v>
      </c>
      <c r="H54" s="54" t="str">
        <f>_xlfn.CONCAT(Table13[[#This Row],[Geographic Scope]],": ",Table13[[#This Row],[Content Type]])</f>
        <v>Local: Explanatory &amp; Analysis</v>
      </c>
      <c r="I54" s="55">
        <v>457893.05</v>
      </c>
      <c r="J54" s="55">
        <v>329833.27173913043</v>
      </c>
      <c r="K54" s="55">
        <v>155019.73157894737</v>
      </c>
      <c r="L54" s="54">
        <v>236082.644</v>
      </c>
      <c r="M54" s="54">
        <v>25196.196</v>
      </c>
      <c r="N54" s="54">
        <v>99512.426818181804</v>
      </c>
      <c r="O54" s="54">
        <v>41620.973478260872</v>
      </c>
      <c r="P54" s="54">
        <v>18937.304347826088</v>
      </c>
      <c r="Q54" s="54">
        <v>34627.521739130432</v>
      </c>
      <c r="R54" s="54">
        <v>68657.25</v>
      </c>
      <c r="S54" s="54">
        <v>166293.03076923077</v>
      </c>
      <c r="T54" s="54">
        <v>28730.857142857141</v>
      </c>
      <c r="U54" s="54">
        <v>18363.142500000002</v>
      </c>
      <c r="V54" s="54">
        <v>119969.66666666667</v>
      </c>
      <c r="W54" s="54">
        <v>6696.5</v>
      </c>
      <c r="X54" s="54">
        <v>22615.821666666667</v>
      </c>
      <c r="Y54" s="54">
        <v>191722.71458333335</v>
      </c>
      <c r="Z54" s="54">
        <v>125721.23083333332</v>
      </c>
      <c r="AA54" s="54">
        <v>317443.94541666668</v>
      </c>
      <c r="AB54" s="54">
        <v>5.536458333333333</v>
      </c>
      <c r="AC54" s="54">
        <v>3.6847826086956523</v>
      </c>
      <c r="AD54" s="54">
        <v>3.0078125</v>
      </c>
      <c r="AE54" s="54">
        <v>603376.88636363635</v>
      </c>
      <c r="AF54" s="54">
        <v>550974.69818181824</v>
      </c>
      <c r="AG54" s="54">
        <v>67814.596470588236</v>
      </c>
      <c r="AH54" s="54">
        <v>401868.64399999997</v>
      </c>
      <c r="AI54" s="54">
        <v>100862.508</v>
      </c>
      <c r="AJ54" s="54">
        <v>157759.90190476191</v>
      </c>
      <c r="AK54" s="54">
        <v>35004.997272727269</v>
      </c>
      <c r="AL54" s="54">
        <v>24071.454545454544</v>
      </c>
      <c r="AM54" s="54">
        <v>91512.545454545456</v>
      </c>
      <c r="AN54" s="54">
        <v>44466.666666666664</v>
      </c>
      <c r="AO54" s="54">
        <v>15814.779999999999</v>
      </c>
      <c r="AP54" s="54">
        <v>35120.166666666664</v>
      </c>
      <c r="AQ54" s="54">
        <v>22715</v>
      </c>
      <c r="AR54" s="54">
        <v>212379</v>
      </c>
      <c r="AS54" s="54">
        <v>41965</v>
      </c>
      <c r="AT54" s="54">
        <v>56979.208571428571</v>
      </c>
      <c r="AU54" s="54">
        <v>280046.55809523811</v>
      </c>
      <c r="AV54" s="54">
        <v>195255.61380952378</v>
      </c>
      <c r="AW54" s="54">
        <v>475302.17190476198</v>
      </c>
      <c r="AX54" s="54">
        <v>6.1977272727272741</v>
      </c>
      <c r="AY54" s="54">
        <v>4.7613636363636367</v>
      </c>
      <c r="AZ54" s="54">
        <v>2.1066666666666669</v>
      </c>
      <c r="BA54" s="54" t="s">
        <v>342</v>
      </c>
    </row>
    <row r="55" spans="1:54" x14ac:dyDescent="0.25">
      <c r="A55" s="54">
        <v>351</v>
      </c>
      <c r="B55" s="54">
        <v>2015</v>
      </c>
      <c r="C55" s="88" t="s">
        <v>80</v>
      </c>
      <c r="D55" s="54" t="s">
        <v>7</v>
      </c>
      <c r="E55" s="54" t="s">
        <v>78</v>
      </c>
      <c r="F55" s="54" t="str">
        <f>_xlfn.CONCAT(Table13[[#This Row],[Geographic Scope]],": ",Table13[[#This Row],[Sub-Type/Focus]])</f>
        <v>Local: Multiple Related Topics</v>
      </c>
      <c r="G55" s="54" t="str">
        <f>_xlfn.CONCAT(Table13[[#This Row],[Geographic Scope]],": ",Table13[[#This Row],[Sub-Type/Focus]],": ",Table13[[#This Row],[Content Type]])</f>
        <v>Local: Multiple Related Topics: Explanatory &amp; Analysis</v>
      </c>
      <c r="H55" s="54" t="str">
        <f>_xlfn.CONCAT(Table13[[#This Row],[Geographic Scope]],": ",Table13[[#This Row],[Content Type]])</f>
        <v>Local: Explanatory &amp; Analysis</v>
      </c>
      <c r="I55" s="55">
        <v>457893.05</v>
      </c>
      <c r="J55" s="55">
        <v>329833.27173913043</v>
      </c>
      <c r="K55" s="55">
        <v>155019.73157894737</v>
      </c>
      <c r="L55" s="54">
        <v>236082.644</v>
      </c>
      <c r="M55" s="54">
        <v>25196.196</v>
      </c>
      <c r="N55" s="54">
        <v>99512.426818181804</v>
      </c>
      <c r="O55" s="54">
        <v>41620.973478260872</v>
      </c>
      <c r="P55" s="54">
        <v>18937.304347826088</v>
      </c>
      <c r="Q55" s="54">
        <v>34627.521739130432</v>
      </c>
      <c r="R55" s="54">
        <v>68657.25</v>
      </c>
      <c r="S55" s="54">
        <v>166293.03076923077</v>
      </c>
      <c r="T55" s="54">
        <v>28730.857142857141</v>
      </c>
      <c r="U55" s="54">
        <v>18363.142500000002</v>
      </c>
      <c r="V55" s="54">
        <v>119969.66666666667</v>
      </c>
      <c r="W55" s="54">
        <v>6696.5</v>
      </c>
      <c r="X55" s="54">
        <v>22615.821666666667</v>
      </c>
      <c r="Y55" s="54">
        <v>191722.71458333335</v>
      </c>
      <c r="Z55" s="54">
        <v>125721.23083333332</v>
      </c>
      <c r="AA55" s="54">
        <v>317443.94541666668</v>
      </c>
      <c r="AB55" s="54">
        <v>5.536458333333333</v>
      </c>
      <c r="AC55" s="54">
        <v>3.6847826086956523</v>
      </c>
      <c r="AD55" s="54">
        <v>3.0078125</v>
      </c>
      <c r="AE55" s="54">
        <v>603376.88636363635</v>
      </c>
      <c r="AF55" s="54">
        <v>550974.69818181824</v>
      </c>
      <c r="AG55" s="54">
        <v>67814.596470588236</v>
      </c>
      <c r="AH55" s="54">
        <v>401868.64399999997</v>
      </c>
      <c r="AI55" s="54">
        <v>100862.508</v>
      </c>
      <c r="AJ55" s="54">
        <v>157759.90190476191</v>
      </c>
      <c r="AK55" s="54">
        <v>35004.997272727269</v>
      </c>
      <c r="AL55" s="54">
        <v>24071.454545454544</v>
      </c>
      <c r="AM55" s="54">
        <v>91512.545454545456</v>
      </c>
      <c r="AN55" s="54">
        <v>44466.666666666664</v>
      </c>
      <c r="AO55" s="54">
        <v>15814.779999999999</v>
      </c>
      <c r="AP55" s="54">
        <v>35120.166666666664</v>
      </c>
      <c r="AQ55" s="54">
        <v>22715</v>
      </c>
      <c r="AR55" s="54">
        <v>212379</v>
      </c>
      <c r="AS55" s="54">
        <v>41965</v>
      </c>
      <c r="AT55" s="54">
        <v>56979.208571428571</v>
      </c>
      <c r="AU55" s="54">
        <v>280046.55809523811</v>
      </c>
      <c r="AV55" s="54">
        <v>195255.61380952378</v>
      </c>
      <c r="AW55" s="54">
        <v>475302.17190476198</v>
      </c>
      <c r="AX55" s="54">
        <v>6.1977272727272741</v>
      </c>
      <c r="AY55" s="54">
        <v>4.7613636363636367</v>
      </c>
      <c r="AZ55" s="54">
        <v>2.1066666666666669</v>
      </c>
      <c r="BA55" s="54" t="s">
        <v>343</v>
      </c>
      <c r="BB55" s="54" t="s">
        <v>360</v>
      </c>
    </row>
    <row r="56" spans="1:54" x14ac:dyDescent="0.25">
      <c r="A56" s="54">
        <v>352</v>
      </c>
      <c r="B56" s="54">
        <v>1976</v>
      </c>
      <c r="C56" s="88" t="s">
        <v>80</v>
      </c>
      <c r="D56" s="54" t="s">
        <v>7</v>
      </c>
      <c r="E56" s="54" t="s">
        <v>78</v>
      </c>
      <c r="F56" s="54" t="str">
        <f>_xlfn.CONCAT(Table13[[#This Row],[Geographic Scope]],": ",Table13[[#This Row],[Sub-Type/Focus]])</f>
        <v>Local: Multiple Related Topics</v>
      </c>
      <c r="G56" s="54" t="str">
        <f>_xlfn.CONCAT(Table13[[#This Row],[Geographic Scope]],": ",Table13[[#This Row],[Sub-Type/Focus]],": ",Table13[[#This Row],[Content Type]])</f>
        <v>Local: Multiple Related Topics: Explanatory &amp; Analysis</v>
      </c>
      <c r="H56" s="54" t="str">
        <f>_xlfn.CONCAT(Table13[[#This Row],[Geographic Scope]],": ",Table13[[#This Row],[Content Type]])</f>
        <v>Local: Explanatory &amp; Analysis</v>
      </c>
      <c r="I56" s="55">
        <v>457893.05</v>
      </c>
      <c r="J56" s="55">
        <v>329833.27173913043</v>
      </c>
      <c r="K56" s="55">
        <v>155019.73157894737</v>
      </c>
      <c r="L56" s="54">
        <v>236082.644</v>
      </c>
      <c r="M56" s="54">
        <v>25196.196</v>
      </c>
      <c r="N56" s="54">
        <v>99512.426818181804</v>
      </c>
      <c r="O56" s="54">
        <v>41620.973478260872</v>
      </c>
      <c r="P56" s="54">
        <v>18937.304347826088</v>
      </c>
      <c r="Q56" s="54">
        <v>34627.521739130432</v>
      </c>
      <c r="R56" s="54">
        <v>68657.25</v>
      </c>
      <c r="S56" s="54">
        <v>166293.03076923077</v>
      </c>
      <c r="T56" s="54">
        <v>28730.857142857141</v>
      </c>
      <c r="U56" s="54">
        <v>18363.142500000002</v>
      </c>
      <c r="V56" s="54">
        <v>119969.66666666667</v>
      </c>
      <c r="W56" s="54">
        <v>6696.5</v>
      </c>
      <c r="X56" s="54">
        <v>22615.821666666667</v>
      </c>
      <c r="Y56" s="54">
        <v>191722.71458333335</v>
      </c>
      <c r="Z56" s="54">
        <v>125721.23083333332</v>
      </c>
      <c r="AA56" s="54">
        <v>317443.94541666668</v>
      </c>
      <c r="AB56" s="54">
        <v>5.536458333333333</v>
      </c>
      <c r="AC56" s="54">
        <v>3.6847826086956523</v>
      </c>
      <c r="AD56" s="54">
        <v>3.0078125</v>
      </c>
      <c r="AE56" s="54">
        <v>603376.88636363635</v>
      </c>
      <c r="AF56" s="54">
        <v>550974.69818181824</v>
      </c>
      <c r="AG56" s="54">
        <v>67814.596470588236</v>
      </c>
      <c r="AH56" s="54">
        <v>401868.64399999997</v>
      </c>
      <c r="AI56" s="54">
        <v>100862.508</v>
      </c>
      <c r="AJ56" s="54">
        <v>157759.90190476191</v>
      </c>
      <c r="AK56" s="54">
        <v>35004.997272727269</v>
      </c>
      <c r="AL56" s="54">
        <v>24071.454545454544</v>
      </c>
      <c r="AM56" s="54">
        <v>91512.545454545456</v>
      </c>
      <c r="AN56" s="54">
        <v>44466.666666666664</v>
      </c>
      <c r="AO56" s="54">
        <v>15814.779999999999</v>
      </c>
      <c r="AP56" s="54">
        <v>35120.166666666664</v>
      </c>
      <c r="AQ56" s="54">
        <v>22715</v>
      </c>
      <c r="AR56" s="54">
        <v>212379</v>
      </c>
      <c r="AS56" s="54">
        <v>41965</v>
      </c>
      <c r="AT56" s="54">
        <v>56979.208571428571</v>
      </c>
      <c r="AU56" s="54">
        <v>280046.55809523811</v>
      </c>
      <c r="AV56" s="54">
        <v>195255.61380952378</v>
      </c>
      <c r="AW56" s="54">
        <v>475302.17190476198</v>
      </c>
      <c r="AX56" s="54">
        <v>6.1977272727272741</v>
      </c>
      <c r="AY56" s="54">
        <v>4.7613636363636367</v>
      </c>
      <c r="AZ56" s="54">
        <v>2.1066666666666669</v>
      </c>
      <c r="BA56" s="54" t="s">
        <v>342</v>
      </c>
      <c r="BB56" s="54" t="s">
        <v>349</v>
      </c>
    </row>
    <row r="57" spans="1:54" x14ac:dyDescent="0.25">
      <c r="A57" s="54">
        <v>380</v>
      </c>
      <c r="B57" s="54">
        <v>2011</v>
      </c>
      <c r="C57" s="88" t="s">
        <v>80</v>
      </c>
      <c r="D57" s="54" t="s">
        <v>7</v>
      </c>
      <c r="E57" s="54" t="s">
        <v>78</v>
      </c>
      <c r="F57" s="54" t="str">
        <f>_xlfn.CONCAT(Table13[[#This Row],[Geographic Scope]],": ",Table13[[#This Row],[Sub-Type/Focus]])</f>
        <v>Local: Multiple Related Topics</v>
      </c>
      <c r="G57" s="54" t="str">
        <f>_xlfn.CONCAT(Table13[[#This Row],[Geographic Scope]],": ",Table13[[#This Row],[Sub-Type/Focus]],": ",Table13[[#This Row],[Content Type]])</f>
        <v>Local: Multiple Related Topics: Explanatory &amp; Analysis</v>
      </c>
      <c r="H57" s="54" t="str">
        <f>_xlfn.CONCAT(Table13[[#This Row],[Geographic Scope]],": ",Table13[[#This Row],[Content Type]])</f>
        <v>Local: Explanatory &amp; Analysis</v>
      </c>
      <c r="I57" s="55">
        <v>457893.05</v>
      </c>
      <c r="J57" s="55">
        <v>329833.27173913043</v>
      </c>
      <c r="K57" s="55">
        <v>155019.73157894737</v>
      </c>
      <c r="L57" s="54">
        <v>236082.644</v>
      </c>
      <c r="M57" s="54">
        <v>25196.196</v>
      </c>
      <c r="N57" s="54">
        <v>99512.426818181804</v>
      </c>
      <c r="O57" s="54">
        <v>41620.973478260872</v>
      </c>
      <c r="P57" s="54">
        <v>18937.304347826088</v>
      </c>
      <c r="Q57" s="54">
        <v>34627.521739130432</v>
      </c>
      <c r="R57" s="54">
        <v>68657.25</v>
      </c>
      <c r="S57" s="54">
        <v>166293.03076923077</v>
      </c>
      <c r="T57" s="54">
        <v>28730.857142857141</v>
      </c>
      <c r="U57" s="54">
        <v>18363.142500000002</v>
      </c>
      <c r="V57" s="54">
        <v>119969.66666666667</v>
      </c>
      <c r="W57" s="54">
        <v>6696.5</v>
      </c>
      <c r="X57" s="54">
        <v>22615.821666666667</v>
      </c>
      <c r="Y57" s="54">
        <v>191722.71458333335</v>
      </c>
      <c r="Z57" s="54">
        <v>125721.23083333332</v>
      </c>
      <c r="AA57" s="54">
        <v>317443.94541666668</v>
      </c>
      <c r="AB57" s="54">
        <v>5.536458333333333</v>
      </c>
      <c r="AC57" s="54">
        <v>3.6847826086956523</v>
      </c>
      <c r="AD57" s="54">
        <v>3.0078125</v>
      </c>
      <c r="AE57" s="54">
        <v>603376.88636363635</v>
      </c>
      <c r="AF57" s="54">
        <v>550974.69818181824</v>
      </c>
      <c r="AG57" s="54">
        <v>67814.596470588236</v>
      </c>
      <c r="AH57" s="54">
        <v>401868.64399999997</v>
      </c>
      <c r="AI57" s="54">
        <v>100862.508</v>
      </c>
      <c r="AJ57" s="54">
        <v>157759.90190476191</v>
      </c>
      <c r="AK57" s="54">
        <v>35004.997272727269</v>
      </c>
      <c r="AL57" s="54">
        <v>24071.454545454544</v>
      </c>
      <c r="AM57" s="54">
        <v>91512.545454545456</v>
      </c>
      <c r="AN57" s="54">
        <v>44466.666666666664</v>
      </c>
      <c r="AO57" s="54">
        <v>15814.779999999999</v>
      </c>
      <c r="AP57" s="54">
        <v>35120.166666666664</v>
      </c>
      <c r="AQ57" s="54">
        <v>22715</v>
      </c>
      <c r="AR57" s="54">
        <v>212379</v>
      </c>
      <c r="AS57" s="54">
        <v>41965</v>
      </c>
      <c r="AT57" s="54">
        <v>56979.208571428571</v>
      </c>
      <c r="AU57" s="54">
        <v>280046.55809523811</v>
      </c>
      <c r="AV57" s="54">
        <v>195255.61380952378</v>
      </c>
      <c r="AW57" s="54">
        <v>475302.17190476198</v>
      </c>
      <c r="AX57" s="54">
        <v>6.1977272727272741</v>
      </c>
      <c r="AY57" s="54">
        <v>4.7613636363636367</v>
      </c>
      <c r="AZ57" s="54">
        <v>2.1066666666666669</v>
      </c>
      <c r="BA57" s="54" t="s">
        <v>342</v>
      </c>
    </row>
    <row r="58" spans="1:54" x14ac:dyDescent="0.25">
      <c r="A58" s="54">
        <v>413</v>
      </c>
      <c r="B58" s="54">
        <v>2017</v>
      </c>
      <c r="C58" s="88" t="s">
        <v>80</v>
      </c>
      <c r="D58" s="54" t="s">
        <v>7</v>
      </c>
      <c r="E58" s="54" t="s">
        <v>78</v>
      </c>
      <c r="F58" s="54" t="str">
        <f>_xlfn.CONCAT(Table13[[#This Row],[Geographic Scope]],": ",Table13[[#This Row],[Sub-Type/Focus]])</f>
        <v>Local: Multiple Related Topics</v>
      </c>
      <c r="G58" s="54" t="str">
        <f>_xlfn.CONCAT(Table13[[#This Row],[Geographic Scope]],": ",Table13[[#This Row],[Sub-Type/Focus]],": ",Table13[[#This Row],[Content Type]])</f>
        <v>Local: Multiple Related Topics: Explanatory &amp; Analysis</v>
      </c>
      <c r="H58" s="54" t="str">
        <f>_xlfn.CONCAT(Table13[[#This Row],[Geographic Scope]],": ",Table13[[#This Row],[Content Type]])</f>
        <v>Local: Explanatory &amp; Analysis</v>
      </c>
      <c r="I58" s="55">
        <v>457893.05</v>
      </c>
      <c r="J58" s="55">
        <v>329833.27173913043</v>
      </c>
      <c r="K58" s="55">
        <v>155019.73157894737</v>
      </c>
      <c r="L58" s="54">
        <v>236082.644</v>
      </c>
      <c r="M58" s="54">
        <v>25196.196</v>
      </c>
      <c r="N58" s="54">
        <v>99512.426818181804</v>
      </c>
      <c r="O58" s="54">
        <v>41620.973478260872</v>
      </c>
      <c r="P58" s="54">
        <v>18937.304347826088</v>
      </c>
      <c r="Q58" s="54">
        <v>34627.521739130432</v>
      </c>
      <c r="R58" s="54">
        <v>68657.25</v>
      </c>
      <c r="S58" s="54">
        <v>166293.03076923077</v>
      </c>
      <c r="T58" s="54">
        <v>28730.857142857141</v>
      </c>
      <c r="U58" s="54">
        <v>18363.142500000002</v>
      </c>
      <c r="V58" s="54">
        <v>119969.66666666667</v>
      </c>
      <c r="W58" s="54">
        <v>6696.5</v>
      </c>
      <c r="X58" s="54">
        <v>22615.821666666667</v>
      </c>
      <c r="Y58" s="54">
        <v>191722.71458333335</v>
      </c>
      <c r="Z58" s="54">
        <v>125721.23083333332</v>
      </c>
      <c r="AA58" s="54">
        <v>317443.94541666668</v>
      </c>
      <c r="AB58" s="54">
        <v>5.536458333333333</v>
      </c>
      <c r="AC58" s="54">
        <v>3.6847826086956523</v>
      </c>
      <c r="AD58" s="54">
        <v>3.0078125</v>
      </c>
      <c r="AE58" s="54">
        <v>603376.88636363635</v>
      </c>
      <c r="AF58" s="54">
        <v>550974.69818181824</v>
      </c>
      <c r="AG58" s="54">
        <v>67814.596470588236</v>
      </c>
      <c r="AH58" s="54">
        <v>401868.64399999997</v>
      </c>
      <c r="AI58" s="54">
        <v>100862.508</v>
      </c>
      <c r="AJ58" s="54">
        <v>157759.90190476191</v>
      </c>
      <c r="AK58" s="54">
        <v>35004.997272727269</v>
      </c>
      <c r="AL58" s="54">
        <v>24071.454545454544</v>
      </c>
      <c r="AM58" s="54">
        <v>91512.545454545456</v>
      </c>
      <c r="AN58" s="54">
        <v>44466.666666666664</v>
      </c>
      <c r="AO58" s="54">
        <v>15814.779999999999</v>
      </c>
      <c r="AP58" s="54">
        <v>35120.166666666664</v>
      </c>
      <c r="AQ58" s="54">
        <v>22715</v>
      </c>
      <c r="AR58" s="54">
        <v>212379</v>
      </c>
      <c r="AS58" s="54">
        <v>41965</v>
      </c>
      <c r="AT58" s="54">
        <v>56979.208571428571</v>
      </c>
      <c r="AU58" s="54">
        <v>280046.55809523811</v>
      </c>
      <c r="AV58" s="54">
        <v>195255.61380952378</v>
      </c>
      <c r="AW58" s="54">
        <v>475302.17190476198</v>
      </c>
      <c r="AX58" s="54">
        <v>6.1977272727272741</v>
      </c>
      <c r="AY58" s="54">
        <v>4.7613636363636367</v>
      </c>
      <c r="AZ58" s="54">
        <v>2.1066666666666669</v>
      </c>
      <c r="BA58" s="54" t="s">
        <v>342</v>
      </c>
      <c r="BB58" s="54" t="s">
        <v>346</v>
      </c>
    </row>
    <row r="59" spans="1:54" x14ac:dyDescent="0.25">
      <c r="A59" s="54">
        <v>419</v>
      </c>
      <c r="B59" s="54">
        <v>2012</v>
      </c>
      <c r="C59" s="88" t="s">
        <v>80</v>
      </c>
      <c r="D59" s="54" t="s">
        <v>7</v>
      </c>
      <c r="E59" s="54" t="s">
        <v>78</v>
      </c>
      <c r="F59" s="54" t="str">
        <f>_xlfn.CONCAT(Table13[[#This Row],[Geographic Scope]],": ",Table13[[#This Row],[Sub-Type/Focus]])</f>
        <v>Local: Multiple Related Topics</v>
      </c>
      <c r="G59" s="54" t="str">
        <f>_xlfn.CONCAT(Table13[[#This Row],[Geographic Scope]],": ",Table13[[#This Row],[Sub-Type/Focus]],": ",Table13[[#This Row],[Content Type]])</f>
        <v>Local: Multiple Related Topics: Explanatory &amp; Analysis</v>
      </c>
      <c r="H59" s="54" t="str">
        <f>_xlfn.CONCAT(Table13[[#This Row],[Geographic Scope]],": ",Table13[[#This Row],[Content Type]])</f>
        <v>Local: Explanatory &amp; Analysis</v>
      </c>
      <c r="I59" s="55">
        <v>457893.05</v>
      </c>
      <c r="J59" s="55">
        <v>329833.27173913043</v>
      </c>
      <c r="K59" s="55">
        <v>155019.73157894737</v>
      </c>
      <c r="L59" s="54">
        <v>236082.644</v>
      </c>
      <c r="M59" s="54">
        <v>25196.196</v>
      </c>
      <c r="N59" s="54">
        <v>99512.426818181804</v>
      </c>
      <c r="O59" s="54">
        <v>41620.973478260872</v>
      </c>
      <c r="P59" s="54">
        <v>18937.304347826088</v>
      </c>
      <c r="Q59" s="54">
        <v>34627.521739130432</v>
      </c>
      <c r="R59" s="54">
        <v>68657.25</v>
      </c>
      <c r="S59" s="54">
        <v>166293.03076923077</v>
      </c>
      <c r="T59" s="54">
        <v>28730.857142857141</v>
      </c>
      <c r="U59" s="54">
        <v>18363.142500000002</v>
      </c>
      <c r="V59" s="54">
        <v>119969.66666666667</v>
      </c>
      <c r="W59" s="54">
        <v>6696.5</v>
      </c>
      <c r="X59" s="54">
        <v>22615.821666666667</v>
      </c>
      <c r="Y59" s="54">
        <v>191722.71458333335</v>
      </c>
      <c r="Z59" s="54">
        <v>125721.23083333332</v>
      </c>
      <c r="AA59" s="54">
        <v>317443.94541666668</v>
      </c>
      <c r="AB59" s="54">
        <v>5.536458333333333</v>
      </c>
      <c r="AC59" s="54">
        <v>3.6847826086956523</v>
      </c>
      <c r="AD59" s="54">
        <v>3.0078125</v>
      </c>
      <c r="AE59" s="54">
        <v>603376.88636363635</v>
      </c>
      <c r="AF59" s="54">
        <v>550974.69818181824</v>
      </c>
      <c r="AG59" s="54">
        <v>67814.596470588236</v>
      </c>
      <c r="AH59" s="54">
        <v>401868.64399999997</v>
      </c>
      <c r="AI59" s="54">
        <v>100862.508</v>
      </c>
      <c r="AJ59" s="54">
        <v>157759.90190476191</v>
      </c>
      <c r="AK59" s="54">
        <v>35004.997272727269</v>
      </c>
      <c r="AL59" s="54">
        <v>24071.454545454544</v>
      </c>
      <c r="AM59" s="54">
        <v>91512.545454545456</v>
      </c>
      <c r="AN59" s="54">
        <v>44466.666666666664</v>
      </c>
      <c r="AO59" s="54">
        <v>15814.779999999999</v>
      </c>
      <c r="AP59" s="54">
        <v>35120.166666666664</v>
      </c>
      <c r="AQ59" s="54">
        <v>22715</v>
      </c>
      <c r="AR59" s="54">
        <v>212379</v>
      </c>
      <c r="AS59" s="54">
        <v>41965</v>
      </c>
      <c r="AT59" s="54">
        <v>56979.208571428571</v>
      </c>
      <c r="AU59" s="54">
        <v>280046.55809523811</v>
      </c>
      <c r="AV59" s="54">
        <v>195255.61380952378</v>
      </c>
      <c r="AW59" s="54">
        <v>475302.17190476198</v>
      </c>
      <c r="AX59" s="54">
        <v>6.1977272727272741</v>
      </c>
      <c r="AY59" s="54">
        <v>4.7613636363636367</v>
      </c>
      <c r="AZ59" s="54">
        <v>2.1066666666666669</v>
      </c>
      <c r="BA59" s="54" t="s">
        <v>342</v>
      </c>
      <c r="BB59" s="54" t="s">
        <v>346</v>
      </c>
    </row>
    <row r="60" spans="1:54" x14ac:dyDescent="0.25">
      <c r="A60" s="54">
        <v>502</v>
      </c>
      <c r="B60" s="54">
        <v>2009</v>
      </c>
      <c r="C60" s="88" t="s">
        <v>80</v>
      </c>
      <c r="D60" s="54" t="s">
        <v>7</v>
      </c>
      <c r="E60" s="54" t="s">
        <v>78</v>
      </c>
      <c r="F60" s="54" t="str">
        <f>_xlfn.CONCAT(Table13[[#This Row],[Geographic Scope]],": ",Table13[[#This Row],[Sub-Type/Focus]])</f>
        <v>Local: Multiple Related Topics</v>
      </c>
      <c r="G60" s="54" t="str">
        <f>_xlfn.CONCAT(Table13[[#This Row],[Geographic Scope]],": ",Table13[[#This Row],[Sub-Type/Focus]],": ",Table13[[#This Row],[Content Type]])</f>
        <v>Local: Multiple Related Topics: Explanatory &amp; Analysis</v>
      </c>
      <c r="H60" s="54" t="str">
        <f>_xlfn.CONCAT(Table13[[#This Row],[Geographic Scope]],": ",Table13[[#This Row],[Content Type]])</f>
        <v>Local: Explanatory &amp; Analysis</v>
      </c>
      <c r="I60" s="55">
        <v>457893.05</v>
      </c>
      <c r="J60" s="55">
        <v>329833.27173913043</v>
      </c>
      <c r="K60" s="55">
        <v>155019.73157894737</v>
      </c>
      <c r="L60" s="54">
        <v>236082.644</v>
      </c>
      <c r="M60" s="54">
        <v>25196.196</v>
      </c>
      <c r="N60" s="54">
        <v>99512.426818181804</v>
      </c>
      <c r="O60" s="54">
        <v>41620.973478260872</v>
      </c>
      <c r="P60" s="54">
        <v>18937.304347826088</v>
      </c>
      <c r="Q60" s="54">
        <v>34627.521739130432</v>
      </c>
      <c r="R60" s="54">
        <v>68657.25</v>
      </c>
      <c r="S60" s="54">
        <v>166293.03076923077</v>
      </c>
      <c r="T60" s="54">
        <v>28730.857142857141</v>
      </c>
      <c r="U60" s="54">
        <v>18363.142500000002</v>
      </c>
      <c r="V60" s="54">
        <v>119969.66666666667</v>
      </c>
      <c r="W60" s="54">
        <v>6696.5</v>
      </c>
      <c r="X60" s="54">
        <v>22615.821666666667</v>
      </c>
      <c r="Y60" s="54">
        <v>191722.71458333335</v>
      </c>
      <c r="Z60" s="54">
        <v>125721.23083333332</v>
      </c>
      <c r="AA60" s="54">
        <v>317443.94541666668</v>
      </c>
      <c r="AB60" s="54">
        <v>5.536458333333333</v>
      </c>
      <c r="AC60" s="54">
        <v>3.6847826086956523</v>
      </c>
      <c r="AD60" s="54">
        <v>3.0078125</v>
      </c>
      <c r="AE60" s="54">
        <v>603376.88636363635</v>
      </c>
      <c r="AF60" s="54">
        <v>550974.69818181824</v>
      </c>
      <c r="AG60" s="54">
        <v>67814.596470588236</v>
      </c>
      <c r="AH60" s="54">
        <v>401868.64399999997</v>
      </c>
      <c r="AI60" s="54">
        <v>100862.508</v>
      </c>
      <c r="AJ60" s="54">
        <v>157759.90190476191</v>
      </c>
      <c r="AK60" s="54">
        <v>35004.997272727269</v>
      </c>
      <c r="AL60" s="54">
        <v>24071.454545454544</v>
      </c>
      <c r="AM60" s="54">
        <v>91512.545454545456</v>
      </c>
      <c r="AN60" s="54">
        <v>44466.666666666664</v>
      </c>
      <c r="AO60" s="54">
        <v>15814.779999999999</v>
      </c>
      <c r="AP60" s="54">
        <v>35120.166666666664</v>
      </c>
      <c r="AQ60" s="54">
        <v>22715</v>
      </c>
      <c r="AR60" s="54">
        <v>212379</v>
      </c>
      <c r="AS60" s="54">
        <v>41965</v>
      </c>
      <c r="AT60" s="54">
        <v>56979.208571428571</v>
      </c>
      <c r="AU60" s="54">
        <v>280046.55809523811</v>
      </c>
      <c r="AV60" s="54">
        <v>195255.61380952378</v>
      </c>
      <c r="AW60" s="54">
        <v>475302.17190476198</v>
      </c>
      <c r="AX60" s="54">
        <v>6.1977272727272741</v>
      </c>
      <c r="AY60" s="54">
        <v>4.7613636363636367</v>
      </c>
      <c r="AZ60" s="54">
        <v>2.1066666666666669</v>
      </c>
      <c r="BA60" s="54" t="s">
        <v>342</v>
      </c>
      <c r="BB60" s="54" t="s">
        <v>347</v>
      </c>
    </row>
    <row r="61" spans="1:54" x14ac:dyDescent="0.25">
      <c r="A61" s="54">
        <v>2907</v>
      </c>
      <c r="B61" s="54">
        <v>2019</v>
      </c>
      <c r="C61" s="88" t="s">
        <v>80</v>
      </c>
      <c r="D61" s="54" t="s">
        <v>7</v>
      </c>
      <c r="E61" s="54" t="s">
        <v>78</v>
      </c>
      <c r="F61" s="54" t="str">
        <f>_xlfn.CONCAT(Table13[[#This Row],[Geographic Scope]],": ",Table13[[#This Row],[Sub-Type/Focus]])</f>
        <v>Local: Multiple Related Topics</v>
      </c>
      <c r="G61" s="54" t="str">
        <f>_xlfn.CONCAT(Table13[[#This Row],[Geographic Scope]],": ",Table13[[#This Row],[Sub-Type/Focus]],": ",Table13[[#This Row],[Content Type]])</f>
        <v>Local: Multiple Related Topics: Explanatory &amp; Analysis</v>
      </c>
      <c r="H61" s="54" t="str">
        <f>_xlfn.CONCAT(Table13[[#This Row],[Geographic Scope]],": ",Table13[[#This Row],[Content Type]])</f>
        <v>Local: Explanatory &amp; Analysis</v>
      </c>
      <c r="I61" s="55">
        <v>457893.05</v>
      </c>
      <c r="J61" s="55">
        <v>329833.27173913043</v>
      </c>
      <c r="K61" s="55">
        <v>155019.73157894737</v>
      </c>
      <c r="L61" s="54">
        <v>236082.644</v>
      </c>
      <c r="M61" s="54">
        <v>25196.196</v>
      </c>
      <c r="N61" s="54">
        <v>99512.426818181804</v>
      </c>
      <c r="O61" s="54">
        <v>41620.973478260872</v>
      </c>
      <c r="P61" s="54">
        <v>18937.304347826088</v>
      </c>
      <c r="Q61" s="54">
        <v>34627.521739130432</v>
      </c>
      <c r="R61" s="54">
        <v>68657.25</v>
      </c>
      <c r="S61" s="54">
        <v>166293.03076923077</v>
      </c>
      <c r="T61" s="54">
        <v>28730.857142857141</v>
      </c>
      <c r="U61" s="54">
        <v>18363.142500000002</v>
      </c>
      <c r="V61" s="54">
        <v>119969.66666666667</v>
      </c>
      <c r="W61" s="54">
        <v>6696.5</v>
      </c>
      <c r="X61" s="54">
        <v>22615.821666666667</v>
      </c>
      <c r="Y61" s="54">
        <v>191722.71458333335</v>
      </c>
      <c r="Z61" s="54">
        <v>125721.23083333332</v>
      </c>
      <c r="AA61" s="54">
        <v>317443.94541666668</v>
      </c>
      <c r="AB61" s="54">
        <v>5.536458333333333</v>
      </c>
      <c r="AC61" s="54">
        <v>3.6847826086956523</v>
      </c>
      <c r="AD61" s="54">
        <v>3.0078125</v>
      </c>
      <c r="AE61" s="54">
        <v>603376.88636363635</v>
      </c>
      <c r="AF61" s="54">
        <v>550974.69818181824</v>
      </c>
      <c r="AG61" s="54">
        <v>67814.596470588236</v>
      </c>
      <c r="AH61" s="54">
        <v>401868.64399999997</v>
      </c>
      <c r="AI61" s="54">
        <v>100862.508</v>
      </c>
      <c r="AJ61" s="54">
        <v>157759.90190476191</v>
      </c>
      <c r="AK61" s="54">
        <v>35004.997272727269</v>
      </c>
      <c r="AL61" s="54">
        <v>24071.454545454544</v>
      </c>
      <c r="AM61" s="54">
        <v>91512.545454545456</v>
      </c>
      <c r="AN61" s="54">
        <v>44466.666666666664</v>
      </c>
      <c r="AO61" s="54">
        <v>15814.779999999999</v>
      </c>
      <c r="AP61" s="54">
        <v>35120.166666666664</v>
      </c>
      <c r="AQ61" s="54">
        <v>22715</v>
      </c>
      <c r="AR61" s="54">
        <v>212379</v>
      </c>
      <c r="AS61" s="54">
        <v>41965</v>
      </c>
      <c r="AT61" s="54">
        <v>56979.208571428571</v>
      </c>
      <c r="AU61" s="54">
        <v>280046.55809523811</v>
      </c>
      <c r="AV61" s="54">
        <v>195255.61380952378</v>
      </c>
      <c r="AW61" s="54">
        <v>475302.17190476198</v>
      </c>
      <c r="AX61" s="54">
        <v>6.1977272727272741</v>
      </c>
      <c r="AY61" s="54">
        <v>4.7613636363636367</v>
      </c>
      <c r="AZ61" s="54">
        <v>2.1066666666666669</v>
      </c>
      <c r="BA61" s="54" t="s">
        <v>342</v>
      </c>
    </row>
    <row r="62" spans="1:54" x14ac:dyDescent="0.25">
      <c r="A62" s="54">
        <v>6841</v>
      </c>
      <c r="B62" s="54">
        <v>2017</v>
      </c>
      <c r="C62" s="88" t="s">
        <v>80</v>
      </c>
      <c r="D62" s="54" t="s">
        <v>7</v>
      </c>
      <c r="E62" s="54" t="s">
        <v>78</v>
      </c>
      <c r="F62" s="54" t="str">
        <f>_xlfn.CONCAT(Table13[[#This Row],[Geographic Scope]],": ",Table13[[#This Row],[Sub-Type/Focus]])</f>
        <v>Local: Multiple Related Topics</v>
      </c>
      <c r="G62" s="54" t="str">
        <f>_xlfn.CONCAT(Table13[[#This Row],[Geographic Scope]],": ",Table13[[#This Row],[Sub-Type/Focus]],": ",Table13[[#This Row],[Content Type]])</f>
        <v>Local: Multiple Related Topics: Explanatory &amp; Analysis</v>
      </c>
      <c r="H62" s="54" t="str">
        <f>_xlfn.CONCAT(Table13[[#This Row],[Geographic Scope]],": ",Table13[[#This Row],[Content Type]])</f>
        <v>Local: Explanatory &amp; Analysis</v>
      </c>
      <c r="I62" s="55">
        <v>457893.05</v>
      </c>
      <c r="J62" s="55">
        <v>329833.27173913043</v>
      </c>
      <c r="K62" s="55">
        <v>155019.73157894737</v>
      </c>
      <c r="L62" s="54">
        <v>236082.644</v>
      </c>
      <c r="M62" s="54">
        <v>25196.196</v>
      </c>
      <c r="N62" s="54">
        <v>99512.426818181804</v>
      </c>
      <c r="O62" s="54">
        <v>41620.973478260872</v>
      </c>
      <c r="P62" s="54">
        <v>18937.304347826088</v>
      </c>
      <c r="Q62" s="54">
        <v>34627.521739130432</v>
      </c>
      <c r="R62" s="54">
        <v>68657.25</v>
      </c>
      <c r="S62" s="54">
        <v>166293.03076923077</v>
      </c>
      <c r="T62" s="54">
        <v>28730.857142857141</v>
      </c>
      <c r="U62" s="54">
        <v>18363.142500000002</v>
      </c>
      <c r="V62" s="54">
        <v>119969.66666666667</v>
      </c>
      <c r="W62" s="54">
        <v>6696.5</v>
      </c>
      <c r="X62" s="54">
        <v>22615.821666666667</v>
      </c>
      <c r="Y62" s="54">
        <v>191722.71458333335</v>
      </c>
      <c r="Z62" s="54">
        <v>125721.23083333332</v>
      </c>
      <c r="AA62" s="54">
        <v>317443.94541666668</v>
      </c>
      <c r="AB62" s="54">
        <v>5.536458333333333</v>
      </c>
      <c r="AC62" s="54">
        <v>3.6847826086956523</v>
      </c>
      <c r="AD62" s="54">
        <v>3.0078125</v>
      </c>
      <c r="AE62" s="54">
        <v>603376.88636363635</v>
      </c>
      <c r="AF62" s="54">
        <v>550974.69818181824</v>
      </c>
      <c r="AG62" s="54">
        <v>67814.596470588236</v>
      </c>
      <c r="AH62" s="54">
        <v>401868.64399999997</v>
      </c>
      <c r="AI62" s="54">
        <v>100862.508</v>
      </c>
      <c r="AJ62" s="54">
        <v>157759.90190476191</v>
      </c>
      <c r="AK62" s="54">
        <v>35004.997272727269</v>
      </c>
      <c r="AL62" s="54">
        <v>24071.454545454544</v>
      </c>
      <c r="AM62" s="54">
        <v>91512.545454545456</v>
      </c>
      <c r="AN62" s="54">
        <v>44466.666666666664</v>
      </c>
      <c r="AO62" s="54">
        <v>15814.779999999999</v>
      </c>
      <c r="AP62" s="54">
        <v>35120.166666666664</v>
      </c>
      <c r="AQ62" s="54">
        <v>22715</v>
      </c>
      <c r="AR62" s="54">
        <v>212379</v>
      </c>
      <c r="AS62" s="54">
        <v>41965</v>
      </c>
      <c r="AT62" s="54">
        <v>56979.208571428571</v>
      </c>
      <c r="AU62" s="54">
        <v>280046.55809523811</v>
      </c>
      <c r="AV62" s="54">
        <v>195255.61380952378</v>
      </c>
      <c r="AW62" s="54">
        <v>475302.17190476198</v>
      </c>
      <c r="AX62" s="54">
        <v>6.1977272727272741</v>
      </c>
      <c r="AY62" s="54">
        <v>4.7613636363636367</v>
      </c>
      <c r="AZ62" s="54">
        <v>2.1066666666666669</v>
      </c>
      <c r="BA62" s="54" t="s">
        <v>342</v>
      </c>
    </row>
    <row r="63" spans="1:54" x14ac:dyDescent="0.25">
      <c r="A63" s="54">
        <v>332</v>
      </c>
      <c r="B63" s="54">
        <v>2001</v>
      </c>
      <c r="C63" s="88" t="s">
        <v>80</v>
      </c>
      <c r="D63" s="54" t="s">
        <v>7</v>
      </c>
      <c r="E63" s="54" t="s">
        <v>79</v>
      </c>
      <c r="F63" s="54" t="str">
        <f>_xlfn.CONCAT(Table13[[#This Row],[Geographic Scope]],": ",Table13[[#This Row],[Sub-Type/Focus]])</f>
        <v>Local: Single-Topic</v>
      </c>
      <c r="G63" s="54" t="str">
        <f>_xlfn.CONCAT(Table13[[#This Row],[Geographic Scope]],": ",Table13[[#This Row],[Sub-Type/Focus]],": ",Table13[[#This Row],[Content Type]])</f>
        <v>Local: Single-Topic: Explanatory &amp; Analysis</v>
      </c>
      <c r="H63" s="54" t="str">
        <f>_xlfn.CONCAT(Table13[[#This Row],[Geographic Scope]],": ",Table13[[#This Row],[Content Type]])</f>
        <v>Local: Explanatory &amp; Analysis</v>
      </c>
      <c r="I63" s="55">
        <v>457893.05</v>
      </c>
      <c r="J63" s="55">
        <v>329833.27173913043</v>
      </c>
      <c r="K63" s="55">
        <v>155019.73157894737</v>
      </c>
      <c r="L63" s="54">
        <v>236082.644</v>
      </c>
      <c r="M63" s="54">
        <v>25196.196</v>
      </c>
      <c r="N63" s="54">
        <v>99512.426818181804</v>
      </c>
      <c r="O63" s="54">
        <v>41620.973478260872</v>
      </c>
      <c r="P63" s="54">
        <v>18937.304347826088</v>
      </c>
      <c r="Q63" s="54">
        <v>34627.521739130432</v>
      </c>
      <c r="R63" s="54">
        <v>68657.25</v>
      </c>
      <c r="S63" s="54">
        <v>166293.03076923077</v>
      </c>
      <c r="T63" s="54">
        <v>28730.857142857141</v>
      </c>
      <c r="U63" s="54">
        <v>18363.142500000002</v>
      </c>
      <c r="V63" s="54">
        <v>119969.66666666667</v>
      </c>
      <c r="W63" s="54">
        <v>6696.5</v>
      </c>
      <c r="X63" s="54">
        <v>22615.821666666667</v>
      </c>
      <c r="Y63" s="54">
        <v>191722.71458333335</v>
      </c>
      <c r="Z63" s="54">
        <v>125721.23083333332</v>
      </c>
      <c r="AA63" s="54">
        <v>317443.94541666668</v>
      </c>
      <c r="AB63" s="54">
        <v>5.536458333333333</v>
      </c>
      <c r="AC63" s="54">
        <v>3.6847826086956523</v>
      </c>
      <c r="AD63" s="54">
        <v>3.0078125</v>
      </c>
      <c r="AE63" s="54">
        <v>421700.44500000001</v>
      </c>
      <c r="AF63" s="54">
        <v>338107.56</v>
      </c>
      <c r="AG63" s="54">
        <v>100311.462</v>
      </c>
      <c r="AH63" s="54">
        <v>133183.4</v>
      </c>
      <c r="AI63" s="54">
        <v>7542.8133333333344</v>
      </c>
      <c r="AJ63" s="54">
        <v>193248.38399999999</v>
      </c>
      <c r="AK63" s="54">
        <v>72415.653333333335</v>
      </c>
      <c r="AL63" s="54">
        <v>36011.166666666664</v>
      </c>
      <c r="AM63" s="54">
        <v>52613.5</v>
      </c>
      <c r="AN63" s="54">
        <v>124619.33333333333</v>
      </c>
      <c r="AO63" s="54">
        <v>55087</v>
      </c>
      <c r="AP63" s="54">
        <v>30058</v>
      </c>
      <c r="AQ63" s="54">
        <v>33994.285000000003</v>
      </c>
      <c r="AR63" s="54">
        <v>145925</v>
      </c>
      <c r="AS63" s="54">
        <v>8982.369999999999</v>
      </c>
      <c r="AT63" s="54">
        <v>14767.333333333334</v>
      </c>
      <c r="AU63" s="54">
        <v>195557</v>
      </c>
      <c r="AV63" s="54">
        <v>150156.10833333334</v>
      </c>
      <c r="AW63" s="54">
        <v>345713.10833333334</v>
      </c>
      <c r="AX63" s="54">
        <v>4.3374999999999995</v>
      </c>
      <c r="AY63" s="54">
        <v>2.4166666666666665</v>
      </c>
      <c r="AZ63" s="54">
        <v>5.7625000000000002</v>
      </c>
      <c r="BA63" s="54" t="s">
        <v>339</v>
      </c>
      <c r="BB63" s="54" t="s">
        <v>342</v>
      </c>
    </row>
    <row r="64" spans="1:54" x14ac:dyDescent="0.25">
      <c r="A64" s="54">
        <v>3063</v>
      </c>
      <c r="B64" s="54">
        <v>2018</v>
      </c>
      <c r="C64" s="88" t="s">
        <v>80</v>
      </c>
      <c r="D64" s="54" t="s">
        <v>7</v>
      </c>
      <c r="E64" s="54" t="s">
        <v>79</v>
      </c>
      <c r="F64" s="54" t="str">
        <f>_xlfn.CONCAT(Table13[[#This Row],[Geographic Scope]],": ",Table13[[#This Row],[Sub-Type/Focus]])</f>
        <v>Local: Single-Topic</v>
      </c>
      <c r="G64" s="54" t="str">
        <f>_xlfn.CONCAT(Table13[[#This Row],[Geographic Scope]],": ",Table13[[#This Row],[Sub-Type/Focus]],": ",Table13[[#This Row],[Content Type]])</f>
        <v>Local: Single-Topic: Explanatory &amp; Analysis</v>
      </c>
      <c r="H64" s="54" t="str">
        <f>_xlfn.CONCAT(Table13[[#This Row],[Geographic Scope]],": ",Table13[[#This Row],[Content Type]])</f>
        <v>Local: Explanatory &amp; Analysis</v>
      </c>
      <c r="I64" s="55">
        <v>457893.05</v>
      </c>
      <c r="J64" s="55">
        <v>329833.27173913043</v>
      </c>
      <c r="K64" s="55">
        <v>155019.73157894737</v>
      </c>
      <c r="L64" s="54">
        <v>236082.644</v>
      </c>
      <c r="M64" s="54">
        <v>25196.196</v>
      </c>
      <c r="N64" s="54">
        <v>99512.426818181804</v>
      </c>
      <c r="O64" s="54">
        <v>41620.973478260872</v>
      </c>
      <c r="P64" s="54">
        <v>18937.304347826088</v>
      </c>
      <c r="Q64" s="54">
        <v>34627.521739130432</v>
      </c>
      <c r="R64" s="54">
        <v>68657.25</v>
      </c>
      <c r="S64" s="54">
        <v>166293.03076923077</v>
      </c>
      <c r="T64" s="54">
        <v>28730.857142857141</v>
      </c>
      <c r="U64" s="54">
        <v>18363.142500000002</v>
      </c>
      <c r="V64" s="54">
        <v>119969.66666666667</v>
      </c>
      <c r="W64" s="54">
        <v>6696.5</v>
      </c>
      <c r="X64" s="54">
        <v>22615.821666666667</v>
      </c>
      <c r="Y64" s="54">
        <v>191722.71458333335</v>
      </c>
      <c r="Z64" s="54">
        <v>125721.23083333332</v>
      </c>
      <c r="AA64" s="54">
        <v>317443.94541666668</v>
      </c>
      <c r="AB64" s="54">
        <v>5.536458333333333</v>
      </c>
      <c r="AC64" s="54">
        <v>3.6847826086956523</v>
      </c>
      <c r="AD64" s="54">
        <v>3.0078125</v>
      </c>
      <c r="AE64" s="54">
        <v>421700.44500000001</v>
      </c>
      <c r="AF64" s="54">
        <v>338107.56</v>
      </c>
      <c r="AG64" s="54">
        <v>100311.462</v>
      </c>
      <c r="AH64" s="54">
        <v>133183.4</v>
      </c>
      <c r="AI64" s="54">
        <v>7542.8133333333344</v>
      </c>
      <c r="AJ64" s="54">
        <v>193248.38399999999</v>
      </c>
      <c r="AK64" s="54">
        <v>72415.653333333335</v>
      </c>
      <c r="AL64" s="54">
        <v>36011.166666666664</v>
      </c>
      <c r="AM64" s="54">
        <v>52613.5</v>
      </c>
      <c r="AN64" s="54">
        <v>124619.33333333333</v>
      </c>
      <c r="AO64" s="54">
        <v>55087</v>
      </c>
      <c r="AP64" s="54">
        <v>30058</v>
      </c>
      <c r="AQ64" s="54">
        <v>33994.285000000003</v>
      </c>
      <c r="AR64" s="54">
        <v>145925</v>
      </c>
      <c r="AS64" s="54">
        <v>8982.369999999999</v>
      </c>
      <c r="AT64" s="54">
        <v>14767.333333333334</v>
      </c>
      <c r="AU64" s="54">
        <v>195557</v>
      </c>
      <c r="AV64" s="54">
        <v>150156.10833333334</v>
      </c>
      <c r="AW64" s="54">
        <v>345713.10833333334</v>
      </c>
      <c r="AX64" s="54">
        <v>4.3374999999999995</v>
      </c>
      <c r="AY64" s="54">
        <v>2.4166666666666665</v>
      </c>
      <c r="AZ64" s="54">
        <v>5.7625000000000002</v>
      </c>
      <c r="BA64" s="54" t="s">
        <v>342</v>
      </c>
    </row>
    <row r="65" spans="1:54" x14ac:dyDescent="0.25">
      <c r="A65" s="54">
        <v>6806</v>
      </c>
      <c r="B65" s="54">
        <v>2003</v>
      </c>
      <c r="C65" s="88" t="s">
        <v>80</v>
      </c>
      <c r="D65" s="54" t="s">
        <v>7</v>
      </c>
      <c r="E65" s="54" t="s">
        <v>79</v>
      </c>
      <c r="F65" s="54" t="str">
        <f>_xlfn.CONCAT(Table13[[#This Row],[Geographic Scope]],": ",Table13[[#This Row],[Sub-Type/Focus]])</f>
        <v>Local: Single-Topic</v>
      </c>
      <c r="G65" s="54" t="str">
        <f>_xlfn.CONCAT(Table13[[#This Row],[Geographic Scope]],": ",Table13[[#This Row],[Sub-Type/Focus]],": ",Table13[[#This Row],[Content Type]])</f>
        <v>Local: Single-Topic: Explanatory &amp; Analysis</v>
      </c>
      <c r="H65" s="54" t="str">
        <f>_xlfn.CONCAT(Table13[[#This Row],[Geographic Scope]],": ",Table13[[#This Row],[Content Type]])</f>
        <v>Local: Explanatory &amp; Analysis</v>
      </c>
      <c r="I65" s="55">
        <v>457893.05</v>
      </c>
      <c r="J65" s="55">
        <v>329833.27173913043</v>
      </c>
      <c r="K65" s="55">
        <v>155019.73157894737</v>
      </c>
      <c r="L65" s="54">
        <v>236082.644</v>
      </c>
      <c r="M65" s="54">
        <v>25196.196</v>
      </c>
      <c r="N65" s="54">
        <v>99512.426818181804</v>
      </c>
      <c r="O65" s="54">
        <v>41620.973478260872</v>
      </c>
      <c r="P65" s="54">
        <v>18937.304347826088</v>
      </c>
      <c r="Q65" s="54">
        <v>34627.521739130432</v>
      </c>
      <c r="R65" s="54">
        <v>68657.25</v>
      </c>
      <c r="S65" s="54">
        <v>166293.03076923077</v>
      </c>
      <c r="T65" s="54">
        <v>28730.857142857141</v>
      </c>
      <c r="U65" s="54">
        <v>18363.142500000002</v>
      </c>
      <c r="V65" s="54">
        <v>119969.66666666667</v>
      </c>
      <c r="W65" s="54">
        <v>6696.5</v>
      </c>
      <c r="X65" s="54">
        <v>22615.821666666667</v>
      </c>
      <c r="Y65" s="54">
        <v>191722.71458333335</v>
      </c>
      <c r="Z65" s="54">
        <v>125721.23083333332</v>
      </c>
      <c r="AA65" s="54">
        <v>317443.94541666668</v>
      </c>
      <c r="AB65" s="54">
        <v>5.536458333333333</v>
      </c>
      <c r="AC65" s="54">
        <v>3.6847826086956523</v>
      </c>
      <c r="AD65" s="54">
        <v>3.0078125</v>
      </c>
      <c r="AE65" s="54">
        <v>421700.44500000001</v>
      </c>
      <c r="AF65" s="54">
        <v>338107.56</v>
      </c>
      <c r="AG65" s="54">
        <v>100311.462</v>
      </c>
      <c r="AH65" s="54">
        <v>133183.4</v>
      </c>
      <c r="AI65" s="54">
        <v>7542.8133333333344</v>
      </c>
      <c r="AJ65" s="54">
        <v>193248.38399999999</v>
      </c>
      <c r="AK65" s="54">
        <v>72415.653333333335</v>
      </c>
      <c r="AL65" s="54">
        <v>36011.166666666664</v>
      </c>
      <c r="AM65" s="54">
        <v>52613.5</v>
      </c>
      <c r="AN65" s="54">
        <v>124619.33333333333</v>
      </c>
      <c r="AO65" s="54">
        <v>55087</v>
      </c>
      <c r="AP65" s="54">
        <v>30058</v>
      </c>
      <c r="AQ65" s="54">
        <v>33994.285000000003</v>
      </c>
      <c r="AR65" s="54">
        <v>145925</v>
      </c>
      <c r="AS65" s="54">
        <v>8982.369999999999</v>
      </c>
      <c r="AT65" s="54">
        <v>14767.333333333334</v>
      </c>
      <c r="AU65" s="54">
        <v>195557</v>
      </c>
      <c r="AV65" s="54">
        <v>150156.10833333334</v>
      </c>
      <c r="AW65" s="54">
        <v>345713.10833333334</v>
      </c>
      <c r="AX65" s="54">
        <v>4.3374999999999995</v>
      </c>
      <c r="AY65" s="54">
        <v>2.4166666666666665</v>
      </c>
      <c r="AZ65" s="54">
        <v>5.7625000000000002</v>
      </c>
      <c r="BA65" s="54" t="s">
        <v>339</v>
      </c>
      <c r="BB65" s="54" t="s">
        <v>342</v>
      </c>
    </row>
    <row r="66" spans="1:54" x14ac:dyDescent="0.25">
      <c r="A66" s="54">
        <v>6825</v>
      </c>
      <c r="B66" s="54">
        <v>2015</v>
      </c>
      <c r="C66" s="88" t="s">
        <v>80</v>
      </c>
      <c r="D66" s="54" t="s">
        <v>7</v>
      </c>
      <c r="E66" s="54" t="s">
        <v>79</v>
      </c>
      <c r="F66" s="54" t="str">
        <f>_xlfn.CONCAT(Table13[[#This Row],[Geographic Scope]],": ",Table13[[#This Row],[Sub-Type/Focus]])</f>
        <v>Local: Single-Topic</v>
      </c>
      <c r="G66" s="54" t="str">
        <f>_xlfn.CONCAT(Table13[[#This Row],[Geographic Scope]],": ",Table13[[#This Row],[Sub-Type/Focus]],": ",Table13[[#This Row],[Content Type]])</f>
        <v>Local: Single-Topic: Explanatory &amp; Analysis</v>
      </c>
      <c r="H66" s="54" t="str">
        <f>_xlfn.CONCAT(Table13[[#This Row],[Geographic Scope]],": ",Table13[[#This Row],[Content Type]])</f>
        <v>Local: Explanatory &amp; Analysis</v>
      </c>
      <c r="I66" s="55">
        <v>457893.05</v>
      </c>
      <c r="J66" s="55">
        <v>329833.27173913043</v>
      </c>
      <c r="K66" s="55">
        <v>155019.73157894737</v>
      </c>
      <c r="L66" s="54">
        <v>236082.644</v>
      </c>
      <c r="M66" s="54">
        <v>25196.196</v>
      </c>
      <c r="N66" s="54">
        <v>99512.426818181804</v>
      </c>
      <c r="O66" s="54">
        <v>41620.973478260872</v>
      </c>
      <c r="P66" s="54">
        <v>18937.304347826088</v>
      </c>
      <c r="Q66" s="54">
        <v>34627.521739130432</v>
      </c>
      <c r="R66" s="54">
        <v>68657.25</v>
      </c>
      <c r="S66" s="54">
        <v>166293.03076923077</v>
      </c>
      <c r="T66" s="54">
        <v>28730.857142857141</v>
      </c>
      <c r="U66" s="54">
        <v>18363.142500000002</v>
      </c>
      <c r="V66" s="54">
        <v>119969.66666666667</v>
      </c>
      <c r="W66" s="54">
        <v>6696.5</v>
      </c>
      <c r="X66" s="54">
        <v>22615.821666666667</v>
      </c>
      <c r="Y66" s="54">
        <v>191722.71458333335</v>
      </c>
      <c r="Z66" s="54">
        <v>125721.23083333332</v>
      </c>
      <c r="AA66" s="54">
        <v>317443.94541666668</v>
      </c>
      <c r="AB66" s="54">
        <v>5.536458333333333</v>
      </c>
      <c r="AC66" s="54">
        <v>3.6847826086956523</v>
      </c>
      <c r="AD66" s="54">
        <v>3.0078125</v>
      </c>
      <c r="AE66" s="54">
        <v>421700.44500000001</v>
      </c>
      <c r="AF66" s="54">
        <v>338107.56</v>
      </c>
      <c r="AG66" s="54">
        <v>100311.462</v>
      </c>
      <c r="AH66" s="54">
        <v>133183.4</v>
      </c>
      <c r="AI66" s="54">
        <v>7542.8133333333344</v>
      </c>
      <c r="AJ66" s="54">
        <v>193248.38399999999</v>
      </c>
      <c r="AK66" s="54">
        <v>72415.653333333335</v>
      </c>
      <c r="AL66" s="54">
        <v>36011.166666666664</v>
      </c>
      <c r="AM66" s="54">
        <v>52613.5</v>
      </c>
      <c r="AN66" s="54">
        <v>124619.33333333333</v>
      </c>
      <c r="AO66" s="54">
        <v>55087</v>
      </c>
      <c r="AP66" s="54">
        <v>30058</v>
      </c>
      <c r="AQ66" s="54">
        <v>33994.285000000003</v>
      </c>
      <c r="AR66" s="54">
        <v>145925</v>
      </c>
      <c r="AS66" s="54">
        <v>8982.369999999999</v>
      </c>
      <c r="AT66" s="54">
        <v>14767.333333333334</v>
      </c>
      <c r="AU66" s="54">
        <v>195557</v>
      </c>
      <c r="AV66" s="54">
        <v>150156.10833333334</v>
      </c>
      <c r="AW66" s="54">
        <v>345713.10833333334</v>
      </c>
      <c r="AX66" s="54">
        <v>4.3374999999999995</v>
      </c>
      <c r="AY66" s="54">
        <v>2.4166666666666665</v>
      </c>
      <c r="AZ66" s="54">
        <v>5.7625000000000002</v>
      </c>
      <c r="BA66" s="54" t="s">
        <v>342</v>
      </c>
    </row>
    <row r="67" spans="1:54" x14ac:dyDescent="0.25">
      <c r="A67" s="54">
        <v>6843</v>
      </c>
      <c r="B67" s="54">
        <v>2019</v>
      </c>
      <c r="C67" s="88" t="s">
        <v>80</v>
      </c>
      <c r="D67" s="54" t="s">
        <v>7</v>
      </c>
      <c r="E67" s="54" t="s">
        <v>79</v>
      </c>
      <c r="F67" s="54" t="str">
        <f>_xlfn.CONCAT(Table13[[#This Row],[Geographic Scope]],": ",Table13[[#This Row],[Sub-Type/Focus]])</f>
        <v>Local: Single-Topic</v>
      </c>
      <c r="G67" s="54" t="str">
        <f>_xlfn.CONCAT(Table13[[#This Row],[Geographic Scope]],": ",Table13[[#This Row],[Sub-Type/Focus]],": ",Table13[[#This Row],[Content Type]])</f>
        <v>Local: Single-Topic: Explanatory &amp; Analysis</v>
      </c>
      <c r="H67" s="54" t="str">
        <f>_xlfn.CONCAT(Table13[[#This Row],[Geographic Scope]],": ",Table13[[#This Row],[Content Type]])</f>
        <v>Local: Explanatory &amp; Analysis</v>
      </c>
      <c r="I67" s="55">
        <v>457893.05</v>
      </c>
      <c r="J67" s="55">
        <v>329833.27173913043</v>
      </c>
      <c r="K67" s="55">
        <v>155019.73157894737</v>
      </c>
      <c r="L67" s="54">
        <v>236082.644</v>
      </c>
      <c r="M67" s="54">
        <v>25196.196</v>
      </c>
      <c r="N67" s="54">
        <v>99512.426818181804</v>
      </c>
      <c r="O67" s="54">
        <v>41620.973478260872</v>
      </c>
      <c r="P67" s="54">
        <v>18937.304347826088</v>
      </c>
      <c r="Q67" s="54">
        <v>34627.521739130432</v>
      </c>
      <c r="R67" s="54">
        <v>68657.25</v>
      </c>
      <c r="S67" s="54">
        <v>166293.03076923077</v>
      </c>
      <c r="T67" s="54">
        <v>28730.857142857141</v>
      </c>
      <c r="U67" s="54">
        <v>18363.142500000002</v>
      </c>
      <c r="V67" s="54">
        <v>119969.66666666667</v>
      </c>
      <c r="W67" s="54">
        <v>6696.5</v>
      </c>
      <c r="X67" s="54">
        <v>22615.821666666667</v>
      </c>
      <c r="Y67" s="54">
        <v>191722.71458333335</v>
      </c>
      <c r="Z67" s="54">
        <v>125721.23083333332</v>
      </c>
      <c r="AA67" s="54">
        <v>317443.94541666668</v>
      </c>
      <c r="AB67" s="54">
        <v>5.536458333333333</v>
      </c>
      <c r="AC67" s="54">
        <v>3.6847826086956523</v>
      </c>
      <c r="AD67" s="54">
        <v>3.0078125</v>
      </c>
      <c r="AE67" s="54">
        <v>421700.44500000001</v>
      </c>
      <c r="AF67" s="54">
        <v>338107.56</v>
      </c>
      <c r="AG67" s="54">
        <v>100311.462</v>
      </c>
      <c r="AH67" s="54">
        <v>133183.4</v>
      </c>
      <c r="AI67" s="54">
        <v>7542.8133333333344</v>
      </c>
      <c r="AJ67" s="54">
        <v>193248.38399999999</v>
      </c>
      <c r="AK67" s="54">
        <v>72415.653333333335</v>
      </c>
      <c r="AL67" s="54">
        <v>36011.166666666664</v>
      </c>
      <c r="AM67" s="54">
        <v>52613.5</v>
      </c>
      <c r="AN67" s="54">
        <v>124619.33333333333</v>
      </c>
      <c r="AO67" s="54">
        <v>55087</v>
      </c>
      <c r="AP67" s="54">
        <v>30058</v>
      </c>
      <c r="AQ67" s="54">
        <v>33994.285000000003</v>
      </c>
      <c r="AR67" s="54">
        <v>145925</v>
      </c>
      <c r="AS67" s="54">
        <v>8982.369999999999</v>
      </c>
      <c r="AT67" s="54">
        <v>14767.333333333334</v>
      </c>
      <c r="AU67" s="54">
        <v>195557</v>
      </c>
      <c r="AV67" s="54">
        <v>150156.10833333334</v>
      </c>
      <c r="AW67" s="54">
        <v>345713.10833333334</v>
      </c>
      <c r="AX67" s="54">
        <v>4.3374999999999995</v>
      </c>
      <c r="AY67" s="54">
        <v>2.4166666666666665</v>
      </c>
      <c r="AZ67" s="54">
        <v>5.7625000000000002</v>
      </c>
      <c r="BA67" s="54" t="s">
        <v>342</v>
      </c>
    </row>
    <row r="68" spans="1:54" x14ac:dyDescent="0.25">
      <c r="A68" s="54">
        <v>371</v>
      </c>
      <c r="B68" s="54">
        <v>2009</v>
      </c>
      <c r="C68" s="88" t="s">
        <v>81</v>
      </c>
      <c r="D68" s="54" t="s">
        <v>7</v>
      </c>
      <c r="E68" s="54" t="s">
        <v>77</v>
      </c>
      <c r="F68" s="54" t="str">
        <f>_xlfn.CONCAT(Table13[[#This Row],[Geographic Scope]],": ",Table13[[#This Row],[Sub-Type/Focus]])</f>
        <v>Local: General</v>
      </c>
      <c r="G68" s="54" t="str">
        <f>_xlfn.CONCAT(Table13[[#This Row],[Geographic Scope]],": ",Table13[[#This Row],[Sub-Type/Focus]],": ",Table13[[#This Row],[Content Type]])</f>
        <v>Local: General: Investigative</v>
      </c>
      <c r="H68" s="54" t="str">
        <f>_xlfn.CONCAT(Table13[[#This Row],[Geographic Scope]],": ",Table13[[#This Row],[Content Type]])</f>
        <v>Local: Investigative</v>
      </c>
      <c r="I68" s="55">
        <v>424104.16791666672</v>
      </c>
      <c r="J68" s="55">
        <v>355987.7095833334</v>
      </c>
      <c r="K68" s="55">
        <v>90821.944444444438</v>
      </c>
      <c r="L68" s="54">
        <v>199414.17391304349</v>
      </c>
      <c r="M68" s="54">
        <v>43962.375</v>
      </c>
      <c r="N68" s="54">
        <v>134437.44083333336</v>
      </c>
      <c r="O68" s="54">
        <v>36564.803333333337</v>
      </c>
      <c r="P68" s="54">
        <v>22134.329166666666</v>
      </c>
      <c r="Q68" s="54">
        <v>75738.308333333334</v>
      </c>
      <c r="R68" s="54">
        <v>63163.575000000004</v>
      </c>
      <c r="S68" s="54">
        <v>151903.875</v>
      </c>
      <c r="T68" s="54">
        <v>5731.6</v>
      </c>
      <c r="U68" s="54">
        <v>18553.599999999999</v>
      </c>
      <c r="V68" s="54">
        <v>11781.5</v>
      </c>
      <c r="W68" s="54">
        <v>44251.666666666664</v>
      </c>
      <c r="X68" s="54">
        <v>35455</v>
      </c>
      <c r="Y68" s="54">
        <v>263905.73181818181</v>
      </c>
      <c r="Z68" s="54">
        <v>123772.3231818182</v>
      </c>
      <c r="AA68" s="54">
        <v>387678.05500000005</v>
      </c>
      <c r="AB68" s="54">
        <v>6.2847826086956529</v>
      </c>
      <c r="AC68" s="54">
        <v>4.6108695652173912</v>
      </c>
      <c r="AD68" s="54">
        <v>2.0263157894736841</v>
      </c>
      <c r="AE68" s="54">
        <v>506626.39920000004</v>
      </c>
      <c r="AF68" s="54">
        <v>357700.67571428569</v>
      </c>
      <c r="AG68" s="54">
        <v>185809.21071428573</v>
      </c>
      <c r="AH68" s="54">
        <v>218884.81978260871</v>
      </c>
      <c r="AI68" s="54">
        <v>102236.50937499999</v>
      </c>
      <c r="AJ68" s="54">
        <v>107951.91428571429</v>
      </c>
      <c r="AK68" s="54">
        <v>38492.880000000005</v>
      </c>
      <c r="AL68" s="54">
        <v>18903.348000000002</v>
      </c>
      <c r="AM68" s="54">
        <v>48396.648000000001</v>
      </c>
      <c r="AN68" s="54">
        <v>41015.649999999994</v>
      </c>
      <c r="AO68" s="54">
        <v>173323.45733333335</v>
      </c>
      <c r="AP68" s="54">
        <v>47006.517857142855</v>
      </c>
      <c r="AQ68" s="54">
        <v>38085.548461538463</v>
      </c>
      <c r="AR68" s="54">
        <v>121145.11111111111</v>
      </c>
      <c r="AS68" s="54">
        <v>220.74</v>
      </c>
      <c r="AT68" s="54">
        <v>22520.766875000001</v>
      </c>
      <c r="AU68" s="54">
        <v>387710.28823529411</v>
      </c>
      <c r="AV68" s="54">
        <v>251234.2737254902</v>
      </c>
      <c r="AW68" s="54">
        <v>638944.56196078437</v>
      </c>
      <c r="AX68" s="54">
        <v>7.6517857142857144</v>
      </c>
      <c r="AY68" s="54">
        <v>5.35</v>
      </c>
      <c r="AZ68" s="54">
        <v>2.9184782608695654</v>
      </c>
      <c r="BA68" s="54" t="s">
        <v>342</v>
      </c>
    </row>
    <row r="69" spans="1:54" x14ac:dyDescent="0.25">
      <c r="A69" s="54">
        <v>378</v>
      </c>
      <c r="B69" s="54">
        <v>2018</v>
      </c>
      <c r="C69" s="88" t="s">
        <v>81</v>
      </c>
      <c r="D69" s="54" t="s">
        <v>7</v>
      </c>
      <c r="E69" s="54" t="s">
        <v>77</v>
      </c>
      <c r="F69" s="54" t="str">
        <f>_xlfn.CONCAT(Table13[[#This Row],[Geographic Scope]],": ",Table13[[#This Row],[Sub-Type/Focus]])</f>
        <v>Local: General</v>
      </c>
      <c r="G69" s="54" t="str">
        <f>_xlfn.CONCAT(Table13[[#This Row],[Geographic Scope]],": ",Table13[[#This Row],[Sub-Type/Focus]],": ",Table13[[#This Row],[Content Type]])</f>
        <v>Local: General: Investigative</v>
      </c>
      <c r="H69" s="54" t="str">
        <f>_xlfn.CONCAT(Table13[[#This Row],[Geographic Scope]],": ",Table13[[#This Row],[Content Type]])</f>
        <v>Local: Investigative</v>
      </c>
      <c r="I69" s="55">
        <v>424104.16791666672</v>
      </c>
      <c r="J69" s="55">
        <v>355987.7095833334</v>
      </c>
      <c r="K69" s="55">
        <v>90821.944444444438</v>
      </c>
      <c r="L69" s="54">
        <v>199414.17391304349</v>
      </c>
      <c r="M69" s="54">
        <v>43962.375</v>
      </c>
      <c r="N69" s="54">
        <v>134437.44083333336</v>
      </c>
      <c r="O69" s="54">
        <v>36564.803333333337</v>
      </c>
      <c r="P69" s="54">
        <v>22134.329166666666</v>
      </c>
      <c r="Q69" s="54">
        <v>75738.308333333334</v>
      </c>
      <c r="R69" s="54">
        <v>63163.575000000004</v>
      </c>
      <c r="S69" s="54">
        <v>151903.875</v>
      </c>
      <c r="T69" s="54">
        <v>5731.6</v>
      </c>
      <c r="U69" s="54">
        <v>18553.599999999999</v>
      </c>
      <c r="V69" s="54">
        <v>11781.5</v>
      </c>
      <c r="W69" s="54">
        <v>44251.666666666664</v>
      </c>
      <c r="X69" s="54">
        <v>35455</v>
      </c>
      <c r="Y69" s="54">
        <v>263905.73181818181</v>
      </c>
      <c r="Z69" s="54">
        <v>123772.3231818182</v>
      </c>
      <c r="AA69" s="54">
        <v>387678.05500000005</v>
      </c>
      <c r="AB69" s="54">
        <v>6.2847826086956529</v>
      </c>
      <c r="AC69" s="54">
        <v>4.6108695652173912</v>
      </c>
      <c r="AD69" s="54">
        <v>2.0263157894736841</v>
      </c>
      <c r="AE69" s="54">
        <v>506626.39920000004</v>
      </c>
      <c r="AF69" s="54">
        <v>357700.67571428569</v>
      </c>
      <c r="AG69" s="54">
        <v>185809.21071428573</v>
      </c>
      <c r="AH69" s="54">
        <v>218884.81978260871</v>
      </c>
      <c r="AI69" s="54">
        <v>102236.50937499999</v>
      </c>
      <c r="AJ69" s="54">
        <v>107951.91428571429</v>
      </c>
      <c r="AK69" s="54">
        <v>38492.880000000005</v>
      </c>
      <c r="AL69" s="54">
        <v>18903.348000000002</v>
      </c>
      <c r="AM69" s="54">
        <v>48396.648000000001</v>
      </c>
      <c r="AN69" s="54">
        <v>41015.649999999994</v>
      </c>
      <c r="AO69" s="54">
        <v>173323.45733333335</v>
      </c>
      <c r="AP69" s="54">
        <v>47006.517857142855</v>
      </c>
      <c r="AQ69" s="54">
        <v>38085.548461538463</v>
      </c>
      <c r="AR69" s="54">
        <v>121145.11111111111</v>
      </c>
      <c r="AS69" s="54">
        <v>220.74</v>
      </c>
      <c r="AT69" s="54">
        <v>22520.766875000001</v>
      </c>
      <c r="AU69" s="54">
        <v>387710.28823529411</v>
      </c>
      <c r="AV69" s="54">
        <v>251234.2737254902</v>
      </c>
      <c r="AW69" s="54">
        <v>638944.56196078437</v>
      </c>
      <c r="AX69" s="54">
        <v>7.6517857142857144</v>
      </c>
      <c r="AY69" s="54">
        <v>5.35</v>
      </c>
      <c r="AZ69" s="54">
        <v>2.9184782608695654</v>
      </c>
      <c r="BA69" s="54" t="s">
        <v>342</v>
      </c>
    </row>
    <row r="70" spans="1:54" x14ac:dyDescent="0.25">
      <c r="A70" s="54">
        <v>386</v>
      </c>
      <c r="B70" s="54">
        <v>2009</v>
      </c>
      <c r="C70" s="88" t="s">
        <v>81</v>
      </c>
      <c r="D70" s="54" t="s">
        <v>7</v>
      </c>
      <c r="E70" s="54" t="s">
        <v>77</v>
      </c>
      <c r="F70" s="54" t="str">
        <f>_xlfn.CONCAT(Table13[[#This Row],[Geographic Scope]],": ",Table13[[#This Row],[Sub-Type/Focus]])</f>
        <v>Local: General</v>
      </c>
      <c r="G70" s="54" t="str">
        <f>_xlfn.CONCAT(Table13[[#This Row],[Geographic Scope]],": ",Table13[[#This Row],[Sub-Type/Focus]],": ",Table13[[#This Row],[Content Type]])</f>
        <v>Local: General: Investigative</v>
      </c>
      <c r="H70" s="54" t="str">
        <f>_xlfn.CONCAT(Table13[[#This Row],[Geographic Scope]],": ",Table13[[#This Row],[Content Type]])</f>
        <v>Local: Investigative</v>
      </c>
      <c r="I70" s="55">
        <v>424104.16791666672</v>
      </c>
      <c r="J70" s="55">
        <v>355987.7095833334</v>
      </c>
      <c r="K70" s="55">
        <v>90821.944444444438</v>
      </c>
      <c r="L70" s="54">
        <v>199414.17391304349</v>
      </c>
      <c r="M70" s="54">
        <v>43962.375</v>
      </c>
      <c r="N70" s="54">
        <v>134437.44083333336</v>
      </c>
      <c r="O70" s="54">
        <v>36564.803333333337</v>
      </c>
      <c r="P70" s="54">
        <v>22134.329166666666</v>
      </c>
      <c r="Q70" s="54">
        <v>75738.308333333334</v>
      </c>
      <c r="R70" s="54">
        <v>63163.575000000004</v>
      </c>
      <c r="S70" s="54">
        <v>151903.875</v>
      </c>
      <c r="T70" s="54">
        <v>5731.6</v>
      </c>
      <c r="U70" s="54">
        <v>18553.599999999999</v>
      </c>
      <c r="V70" s="54">
        <v>11781.5</v>
      </c>
      <c r="W70" s="54">
        <v>44251.666666666664</v>
      </c>
      <c r="X70" s="54">
        <v>35455</v>
      </c>
      <c r="Y70" s="54">
        <v>263905.73181818181</v>
      </c>
      <c r="Z70" s="54">
        <v>123772.3231818182</v>
      </c>
      <c r="AA70" s="54">
        <v>387678.05500000005</v>
      </c>
      <c r="AB70" s="54">
        <v>6.2847826086956529</v>
      </c>
      <c r="AC70" s="54">
        <v>4.6108695652173912</v>
      </c>
      <c r="AD70" s="54">
        <v>2.0263157894736841</v>
      </c>
      <c r="AE70" s="54">
        <v>506626.39920000004</v>
      </c>
      <c r="AF70" s="54">
        <v>357700.67571428569</v>
      </c>
      <c r="AG70" s="54">
        <v>185809.21071428573</v>
      </c>
      <c r="AH70" s="54">
        <v>218884.81978260871</v>
      </c>
      <c r="AI70" s="54">
        <v>102236.50937499999</v>
      </c>
      <c r="AJ70" s="54">
        <v>107951.91428571429</v>
      </c>
      <c r="AK70" s="54">
        <v>38492.880000000005</v>
      </c>
      <c r="AL70" s="54">
        <v>18903.348000000002</v>
      </c>
      <c r="AM70" s="54">
        <v>48396.648000000001</v>
      </c>
      <c r="AN70" s="54">
        <v>41015.649999999994</v>
      </c>
      <c r="AO70" s="54">
        <v>173323.45733333335</v>
      </c>
      <c r="AP70" s="54">
        <v>47006.517857142855</v>
      </c>
      <c r="AQ70" s="54">
        <v>38085.548461538463</v>
      </c>
      <c r="AR70" s="54">
        <v>121145.11111111111</v>
      </c>
      <c r="AS70" s="54">
        <v>220.74</v>
      </c>
      <c r="AT70" s="54">
        <v>22520.766875000001</v>
      </c>
      <c r="AU70" s="54">
        <v>387710.28823529411</v>
      </c>
      <c r="AV70" s="54">
        <v>251234.2737254902</v>
      </c>
      <c r="AW70" s="54">
        <v>638944.56196078437</v>
      </c>
      <c r="AX70" s="54">
        <v>7.6517857142857144</v>
      </c>
      <c r="AY70" s="54">
        <v>5.35</v>
      </c>
      <c r="AZ70" s="54">
        <v>2.9184782608695654</v>
      </c>
      <c r="BA70" s="54" t="s">
        <v>343</v>
      </c>
      <c r="BB70" s="54" t="s">
        <v>361</v>
      </c>
    </row>
    <row r="71" spans="1:54" x14ac:dyDescent="0.25">
      <c r="A71" s="54">
        <v>438</v>
      </c>
      <c r="B71" s="54">
        <v>2009</v>
      </c>
      <c r="C71" s="88" t="s">
        <v>81</v>
      </c>
      <c r="D71" s="54" t="s">
        <v>7</v>
      </c>
      <c r="E71" s="54" t="s">
        <v>77</v>
      </c>
      <c r="F71" s="54" t="str">
        <f>_xlfn.CONCAT(Table13[[#This Row],[Geographic Scope]],": ",Table13[[#This Row],[Sub-Type/Focus]])</f>
        <v>Local: General</v>
      </c>
      <c r="G71" s="54" t="str">
        <f>_xlfn.CONCAT(Table13[[#This Row],[Geographic Scope]],": ",Table13[[#This Row],[Sub-Type/Focus]],": ",Table13[[#This Row],[Content Type]])</f>
        <v>Local: General: Investigative</v>
      </c>
      <c r="H71" s="54" t="str">
        <f>_xlfn.CONCAT(Table13[[#This Row],[Geographic Scope]],": ",Table13[[#This Row],[Content Type]])</f>
        <v>Local: Investigative</v>
      </c>
      <c r="I71" s="55">
        <v>424104.16791666672</v>
      </c>
      <c r="J71" s="55">
        <v>355987.7095833334</v>
      </c>
      <c r="K71" s="55">
        <v>90821.944444444438</v>
      </c>
      <c r="L71" s="54">
        <v>199414.17391304349</v>
      </c>
      <c r="M71" s="54">
        <v>43962.375</v>
      </c>
      <c r="N71" s="54">
        <v>134437.44083333336</v>
      </c>
      <c r="O71" s="54">
        <v>36564.803333333337</v>
      </c>
      <c r="P71" s="54">
        <v>22134.329166666666</v>
      </c>
      <c r="Q71" s="54">
        <v>75738.308333333334</v>
      </c>
      <c r="R71" s="54">
        <v>63163.575000000004</v>
      </c>
      <c r="S71" s="54">
        <v>151903.875</v>
      </c>
      <c r="T71" s="54">
        <v>5731.6</v>
      </c>
      <c r="U71" s="54">
        <v>18553.599999999999</v>
      </c>
      <c r="V71" s="54">
        <v>11781.5</v>
      </c>
      <c r="W71" s="54">
        <v>44251.666666666664</v>
      </c>
      <c r="X71" s="54">
        <v>35455</v>
      </c>
      <c r="Y71" s="54">
        <v>263905.73181818181</v>
      </c>
      <c r="Z71" s="54">
        <v>123772.3231818182</v>
      </c>
      <c r="AA71" s="54">
        <v>387678.05500000005</v>
      </c>
      <c r="AB71" s="54">
        <v>6.2847826086956529</v>
      </c>
      <c r="AC71" s="54">
        <v>4.6108695652173912</v>
      </c>
      <c r="AD71" s="54">
        <v>2.0263157894736841</v>
      </c>
      <c r="AE71" s="54">
        <v>506626.39920000004</v>
      </c>
      <c r="AF71" s="54">
        <v>357700.67571428569</v>
      </c>
      <c r="AG71" s="54">
        <v>185809.21071428573</v>
      </c>
      <c r="AH71" s="54">
        <v>218884.81978260871</v>
      </c>
      <c r="AI71" s="54">
        <v>102236.50937499999</v>
      </c>
      <c r="AJ71" s="54">
        <v>107951.91428571429</v>
      </c>
      <c r="AK71" s="54">
        <v>38492.880000000005</v>
      </c>
      <c r="AL71" s="54">
        <v>18903.348000000002</v>
      </c>
      <c r="AM71" s="54">
        <v>48396.648000000001</v>
      </c>
      <c r="AN71" s="54">
        <v>41015.649999999994</v>
      </c>
      <c r="AO71" s="54">
        <v>173323.45733333335</v>
      </c>
      <c r="AP71" s="54">
        <v>47006.517857142855</v>
      </c>
      <c r="AQ71" s="54">
        <v>38085.548461538463</v>
      </c>
      <c r="AR71" s="54">
        <v>121145.11111111111</v>
      </c>
      <c r="AS71" s="54">
        <v>220.74</v>
      </c>
      <c r="AT71" s="54">
        <v>22520.766875000001</v>
      </c>
      <c r="AU71" s="54">
        <v>387710.28823529411</v>
      </c>
      <c r="AV71" s="54">
        <v>251234.2737254902</v>
      </c>
      <c r="AW71" s="54">
        <v>638944.56196078437</v>
      </c>
      <c r="AX71" s="54">
        <v>7.6517857142857144</v>
      </c>
      <c r="AY71" s="54">
        <v>5.35</v>
      </c>
      <c r="AZ71" s="54">
        <v>2.9184782608695654</v>
      </c>
      <c r="BA71" s="54" t="s">
        <v>339</v>
      </c>
      <c r="BB71" s="54" t="s">
        <v>359</v>
      </c>
    </row>
    <row r="72" spans="1:54" x14ac:dyDescent="0.25">
      <c r="A72" s="54">
        <v>445</v>
      </c>
      <c r="B72" s="54">
        <v>2011</v>
      </c>
      <c r="C72" s="88" t="s">
        <v>81</v>
      </c>
      <c r="D72" s="54" t="s">
        <v>7</v>
      </c>
      <c r="E72" s="54" t="s">
        <v>77</v>
      </c>
      <c r="F72" s="54" t="str">
        <f>_xlfn.CONCAT(Table13[[#This Row],[Geographic Scope]],": ",Table13[[#This Row],[Sub-Type/Focus]])</f>
        <v>Local: General</v>
      </c>
      <c r="G72" s="54" t="str">
        <f>_xlfn.CONCAT(Table13[[#This Row],[Geographic Scope]],": ",Table13[[#This Row],[Sub-Type/Focus]],": ",Table13[[#This Row],[Content Type]])</f>
        <v>Local: General: Investigative</v>
      </c>
      <c r="H72" s="54" t="str">
        <f>_xlfn.CONCAT(Table13[[#This Row],[Geographic Scope]],": ",Table13[[#This Row],[Content Type]])</f>
        <v>Local: Investigative</v>
      </c>
      <c r="I72" s="55">
        <v>424104.16791666672</v>
      </c>
      <c r="J72" s="55">
        <v>355987.7095833334</v>
      </c>
      <c r="K72" s="55">
        <v>90821.944444444438</v>
      </c>
      <c r="L72" s="54">
        <v>199414.17391304349</v>
      </c>
      <c r="M72" s="54">
        <v>43962.375</v>
      </c>
      <c r="N72" s="54">
        <v>134437.44083333336</v>
      </c>
      <c r="O72" s="54">
        <v>36564.803333333337</v>
      </c>
      <c r="P72" s="54">
        <v>22134.329166666666</v>
      </c>
      <c r="Q72" s="54">
        <v>75738.308333333334</v>
      </c>
      <c r="R72" s="54">
        <v>63163.575000000004</v>
      </c>
      <c r="S72" s="54">
        <v>151903.875</v>
      </c>
      <c r="T72" s="54">
        <v>5731.6</v>
      </c>
      <c r="U72" s="54">
        <v>18553.599999999999</v>
      </c>
      <c r="V72" s="54">
        <v>11781.5</v>
      </c>
      <c r="W72" s="54">
        <v>44251.666666666664</v>
      </c>
      <c r="X72" s="54">
        <v>35455</v>
      </c>
      <c r="Y72" s="54">
        <v>263905.73181818181</v>
      </c>
      <c r="Z72" s="54">
        <v>123772.3231818182</v>
      </c>
      <c r="AA72" s="54">
        <v>387678.05500000005</v>
      </c>
      <c r="AB72" s="54">
        <v>6.2847826086956529</v>
      </c>
      <c r="AC72" s="54">
        <v>4.6108695652173912</v>
      </c>
      <c r="AD72" s="54">
        <v>2.0263157894736841</v>
      </c>
      <c r="AE72" s="54">
        <v>506626.39920000004</v>
      </c>
      <c r="AF72" s="54">
        <v>357700.67571428569</v>
      </c>
      <c r="AG72" s="54">
        <v>185809.21071428573</v>
      </c>
      <c r="AH72" s="54">
        <v>218884.81978260871</v>
      </c>
      <c r="AI72" s="54">
        <v>102236.50937499999</v>
      </c>
      <c r="AJ72" s="54">
        <v>107951.91428571429</v>
      </c>
      <c r="AK72" s="54">
        <v>38492.880000000005</v>
      </c>
      <c r="AL72" s="54">
        <v>18903.348000000002</v>
      </c>
      <c r="AM72" s="54">
        <v>48396.648000000001</v>
      </c>
      <c r="AN72" s="54">
        <v>41015.649999999994</v>
      </c>
      <c r="AO72" s="54">
        <v>173323.45733333335</v>
      </c>
      <c r="AP72" s="54">
        <v>47006.517857142855</v>
      </c>
      <c r="AQ72" s="54">
        <v>38085.548461538463</v>
      </c>
      <c r="AR72" s="54">
        <v>121145.11111111111</v>
      </c>
      <c r="AS72" s="54">
        <v>220.74</v>
      </c>
      <c r="AT72" s="54">
        <v>22520.766875000001</v>
      </c>
      <c r="AU72" s="54">
        <v>387710.28823529411</v>
      </c>
      <c r="AV72" s="54">
        <v>251234.2737254902</v>
      </c>
      <c r="AW72" s="54">
        <v>638944.56196078437</v>
      </c>
      <c r="AX72" s="54">
        <v>7.6517857142857144</v>
      </c>
      <c r="AY72" s="54">
        <v>5.35</v>
      </c>
      <c r="AZ72" s="54">
        <v>2.9184782608695654</v>
      </c>
      <c r="BA72" s="54" t="s">
        <v>342</v>
      </c>
      <c r="BB72" s="54" t="s">
        <v>347</v>
      </c>
    </row>
    <row r="73" spans="1:54" x14ac:dyDescent="0.25">
      <c r="A73" s="54">
        <v>487</v>
      </c>
      <c r="B73" s="54">
        <v>2010</v>
      </c>
      <c r="C73" s="88" t="s">
        <v>81</v>
      </c>
      <c r="D73" s="54" t="s">
        <v>7</v>
      </c>
      <c r="E73" s="54" t="s">
        <v>77</v>
      </c>
      <c r="F73" s="54" t="str">
        <f>_xlfn.CONCAT(Table13[[#This Row],[Geographic Scope]],": ",Table13[[#This Row],[Sub-Type/Focus]])</f>
        <v>Local: General</v>
      </c>
      <c r="G73" s="54" t="str">
        <f>_xlfn.CONCAT(Table13[[#This Row],[Geographic Scope]],": ",Table13[[#This Row],[Sub-Type/Focus]],": ",Table13[[#This Row],[Content Type]])</f>
        <v>Local: General: Investigative</v>
      </c>
      <c r="H73" s="54" t="str">
        <f>_xlfn.CONCAT(Table13[[#This Row],[Geographic Scope]],": ",Table13[[#This Row],[Content Type]])</f>
        <v>Local: Investigative</v>
      </c>
      <c r="I73" s="55">
        <v>424104.16791666672</v>
      </c>
      <c r="J73" s="55">
        <v>355987.7095833334</v>
      </c>
      <c r="K73" s="55">
        <v>90821.944444444438</v>
      </c>
      <c r="L73" s="54">
        <v>199414.17391304349</v>
      </c>
      <c r="M73" s="54">
        <v>43962.375</v>
      </c>
      <c r="N73" s="54">
        <v>134437.44083333336</v>
      </c>
      <c r="O73" s="54">
        <v>36564.803333333337</v>
      </c>
      <c r="P73" s="54">
        <v>22134.329166666666</v>
      </c>
      <c r="Q73" s="54">
        <v>75738.308333333334</v>
      </c>
      <c r="R73" s="54">
        <v>63163.575000000004</v>
      </c>
      <c r="S73" s="54">
        <v>151903.875</v>
      </c>
      <c r="T73" s="54">
        <v>5731.6</v>
      </c>
      <c r="U73" s="54">
        <v>18553.599999999999</v>
      </c>
      <c r="V73" s="54">
        <v>11781.5</v>
      </c>
      <c r="W73" s="54">
        <v>44251.666666666664</v>
      </c>
      <c r="X73" s="54">
        <v>35455</v>
      </c>
      <c r="Y73" s="54">
        <v>263905.73181818181</v>
      </c>
      <c r="Z73" s="54">
        <v>123772.3231818182</v>
      </c>
      <c r="AA73" s="54">
        <v>387678.05500000005</v>
      </c>
      <c r="AB73" s="54">
        <v>6.2847826086956529</v>
      </c>
      <c r="AC73" s="54">
        <v>4.6108695652173912</v>
      </c>
      <c r="AD73" s="54">
        <v>2.0263157894736841</v>
      </c>
      <c r="AE73" s="54">
        <v>506626.39920000004</v>
      </c>
      <c r="AF73" s="54">
        <v>357700.67571428569</v>
      </c>
      <c r="AG73" s="54">
        <v>185809.21071428573</v>
      </c>
      <c r="AH73" s="54">
        <v>218884.81978260871</v>
      </c>
      <c r="AI73" s="54">
        <v>102236.50937499999</v>
      </c>
      <c r="AJ73" s="54">
        <v>107951.91428571429</v>
      </c>
      <c r="AK73" s="54">
        <v>38492.880000000005</v>
      </c>
      <c r="AL73" s="54">
        <v>18903.348000000002</v>
      </c>
      <c r="AM73" s="54">
        <v>48396.648000000001</v>
      </c>
      <c r="AN73" s="54">
        <v>41015.649999999994</v>
      </c>
      <c r="AO73" s="54">
        <v>173323.45733333335</v>
      </c>
      <c r="AP73" s="54">
        <v>47006.517857142855</v>
      </c>
      <c r="AQ73" s="54">
        <v>38085.548461538463</v>
      </c>
      <c r="AR73" s="54">
        <v>121145.11111111111</v>
      </c>
      <c r="AS73" s="54">
        <v>220.74</v>
      </c>
      <c r="AT73" s="54">
        <v>22520.766875000001</v>
      </c>
      <c r="AU73" s="54">
        <v>387710.28823529411</v>
      </c>
      <c r="AV73" s="54">
        <v>251234.2737254902</v>
      </c>
      <c r="AW73" s="54">
        <v>638944.56196078437</v>
      </c>
      <c r="AX73" s="54">
        <v>7.6517857142857144</v>
      </c>
      <c r="AY73" s="54">
        <v>5.35</v>
      </c>
      <c r="AZ73" s="54">
        <v>2.9184782608695654</v>
      </c>
      <c r="BA73" s="54" t="s">
        <v>342</v>
      </c>
    </row>
    <row r="74" spans="1:54" x14ac:dyDescent="0.25">
      <c r="A74" s="54">
        <v>496</v>
      </c>
      <c r="B74" s="54">
        <v>2017</v>
      </c>
      <c r="C74" s="88" t="s">
        <v>81</v>
      </c>
      <c r="D74" s="54" t="s">
        <v>7</v>
      </c>
      <c r="E74" s="54" t="s">
        <v>77</v>
      </c>
      <c r="F74" s="54" t="str">
        <f>_xlfn.CONCAT(Table13[[#This Row],[Geographic Scope]],": ",Table13[[#This Row],[Sub-Type/Focus]])</f>
        <v>Local: General</v>
      </c>
      <c r="G74" s="54" t="str">
        <f>_xlfn.CONCAT(Table13[[#This Row],[Geographic Scope]],": ",Table13[[#This Row],[Sub-Type/Focus]],": ",Table13[[#This Row],[Content Type]])</f>
        <v>Local: General: Investigative</v>
      </c>
      <c r="H74" s="54" t="str">
        <f>_xlfn.CONCAT(Table13[[#This Row],[Geographic Scope]],": ",Table13[[#This Row],[Content Type]])</f>
        <v>Local: Investigative</v>
      </c>
      <c r="I74" s="55">
        <v>424104.16791666672</v>
      </c>
      <c r="J74" s="55">
        <v>355987.7095833334</v>
      </c>
      <c r="K74" s="55">
        <v>90821.944444444438</v>
      </c>
      <c r="L74" s="54">
        <v>199414.17391304349</v>
      </c>
      <c r="M74" s="54">
        <v>43962.375</v>
      </c>
      <c r="N74" s="54">
        <v>134437.44083333336</v>
      </c>
      <c r="O74" s="54">
        <v>36564.803333333337</v>
      </c>
      <c r="P74" s="54">
        <v>22134.329166666666</v>
      </c>
      <c r="Q74" s="54">
        <v>75738.308333333334</v>
      </c>
      <c r="R74" s="54">
        <v>63163.575000000004</v>
      </c>
      <c r="S74" s="54">
        <v>151903.875</v>
      </c>
      <c r="T74" s="54">
        <v>5731.6</v>
      </c>
      <c r="U74" s="54">
        <v>18553.599999999999</v>
      </c>
      <c r="V74" s="54">
        <v>11781.5</v>
      </c>
      <c r="W74" s="54">
        <v>44251.666666666664</v>
      </c>
      <c r="X74" s="54">
        <v>35455</v>
      </c>
      <c r="Y74" s="54">
        <v>263905.73181818181</v>
      </c>
      <c r="Z74" s="54">
        <v>123772.3231818182</v>
      </c>
      <c r="AA74" s="54">
        <v>387678.05500000005</v>
      </c>
      <c r="AB74" s="54">
        <v>6.2847826086956529</v>
      </c>
      <c r="AC74" s="54">
        <v>4.6108695652173912</v>
      </c>
      <c r="AD74" s="54">
        <v>2.0263157894736841</v>
      </c>
      <c r="AE74" s="54">
        <v>506626.39920000004</v>
      </c>
      <c r="AF74" s="54">
        <v>357700.67571428569</v>
      </c>
      <c r="AG74" s="54">
        <v>185809.21071428573</v>
      </c>
      <c r="AH74" s="54">
        <v>218884.81978260871</v>
      </c>
      <c r="AI74" s="54">
        <v>102236.50937499999</v>
      </c>
      <c r="AJ74" s="54">
        <v>107951.91428571429</v>
      </c>
      <c r="AK74" s="54">
        <v>38492.880000000005</v>
      </c>
      <c r="AL74" s="54">
        <v>18903.348000000002</v>
      </c>
      <c r="AM74" s="54">
        <v>48396.648000000001</v>
      </c>
      <c r="AN74" s="54">
        <v>41015.649999999994</v>
      </c>
      <c r="AO74" s="54">
        <v>173323.45733333335</v>
      </c>
      <c r="AP74" s="54">
        <v>47006.517857142855</v>
      </c>
      <c r="AQ74" s="54">
        <v>38085.548461538463</v>
      </c>
      <c r="AR74" s="54">
        <v>121145.11111111111</v>
      </c>
      <c r="AS74" s="54">
        <v>220.74</v>
      </c>
      <c r="AT74" s="54">
        <v>22520.766875000001</v>
      </c>
      <c r="AU74" s="54">
        <v>387710.28823529411</v>
      </c>
      <c r="AV74" s="54">
        <v>251234.2737254902</v>
      </c>
      <c r="AW74" s="54">
        <v>638944.56196078437</v>
      </c>
      <c r="AX74" s="54">
        <v>7.6517857142857144</v>
      </c>
      <c r="AY74" s="54">
        <v>5.35</v>
      </c>
      <c r="AZ74" s="54">
        <v>2.9184782608695654</v>
      </c>
      <c r="BA74" s="54" t="s">
        <v>342</v>
      </c>
    </row>
    <row r="75" spans="1:54" x14ac:dyDescent="0.25">
      <c r="A75" s="54">
        <v>499</v>
      </c>
      <c r="B75" s="54">
        <v>2010</v>
      </c>
      <c r="C75" s="88" t="s">
        <v>81</v>
      </c>
      <c r="D75" s="54" t="s">
        <v>7</v>
      </c>
      <c r="E75" s="54" t="s">
        <v>77</v>
      </c>
      <c r="F75" s="54" t="str">
        <f>_xlfn.CONCAT(Table13[[#This Row],[Geographic Scope]],": ",Table13[[#This Row],[Sub-Type/Focus]])</f>
        <v>Local: General</v>
      </c>
      <c r="G75" s="54" t="str">
        <f>_xlfn.CONCAT(Table13[[#This Row],[Geographic Scope]],": ",Table13[[#This Row],[Sub-Type/Focus]],": ",Table13[[#This Row],[Content Type]])</f>
        <v>Local: General: Investigative</v>
      </c>
      <c r="H75" s="54" t="str">
        <f>_xlfn.CONCAT(Table13[[#This Row],[Geographic Scope]],": ",Table13[[#This Row],[Content Type]])</f>
        <v>Local: Investigative</v>
      </c>
      <c r="I75" s="55">
        <v>424104.16791666672</v>
      </c>
      <c r="J75" s="55">
        <v>355987.7095833334</v>
      </c>
      <c r="K75" s="55">
        <v>90821.944444444438</v>
      </c>
      <c r="L75" s="54">
        <v>199414.17391304349</v>
      </c>
      <c r="M75" s="54">
        <v>43962.375</v>
      </c>
      <c r="N75" s="54">
        <v>134437.44083333336</v>
      </c>
      <c r="O75" s="54">
        <v>36564.803333333337</v>
      </c>
      <c r="P75" s="54">
        <v>22134.329166666666</v>
      </c>
      <c r="Q75" s="54">
        <v>75738.308333333334</v>
      </c>
      <c r="R75" s="54">
        <v>63163.575000000004</v>
      </c>
      <c r="S75" s="54">
        <v>151903.875</v>
      </c>
      <c r="T75" s="54">
        <v>5731.6</v>
      </c>
      <c r="U75" s="54">
        <v>18553.599999999999</v>
      </c>
      <c r="V75" s="54">
        <v>11781.5</v>
      </c>
      <c r="W75" s="54">
        <v>44251.666666666664</v>
      </c>
      <c r="X75" s="54">
        <v>35455</v>
      </c>
      <c r="Y75" s="54">
        <v>263905.73181818181</v>
      </c>
      <c r="Z75" s="54">
        <v>123772.3231818182</v>
      </c>
      <c r="AA75" s="54">
        <v>387678.05500000005</v>
      </c>
      <c r="AB75" s="54">
        <v>6.2847826086956529</v>
      </c>
      <c r="AC75" s="54">
        <v>4.6108695652173912</v>
      </c>
      <c r="AD75" s="54">
        <v>2.0263157894736841</v>
      </c>
      <c r="AE75" s="54">
        <v>506626.39920000004</v>
      </c>
      <c r="AF75" s="54">
        <v>357700.67571428569</v>
      </c>
      <c r="AG75" s="54">
        <v>185809.21071428573</v>
      </c>
      <c r="AH75" s="54">
        <v>218884.81978260871</v>
      </c>
      <c r="AI75" s="54">
        <v>102236.50937499999</v>
      </c>
      <c r="AJ75" s="54">
        <v>107951.91428571429</v>
      </c>
      <c r="AK75" s="54">
        <v>38492.880000000005</v>
      </c>
      <c r="AL75" s="54">
        <v>18903.348000000002</v>
      </c>
      <c r="AM75" s="54">
        <v>48396.648000000001</v>
      </c>
      <c r="AN75" s="54">
        <v>41015.649999999994</v>
      </c>
      <c r="AO75" s="54">
        <v>173323.45733333335</v>
      </c>
      <c r="AP75" s="54">
        <v>47006.517857142855</v>
      </c>
      <c r="AQ75" s="54">
        <v>38085.548461538463</v>
      </c>
      <c r="AR75" s="54">
        <v>121145.11111111111</v>
      </c>
      <c r="AS75" s="54">
        <v>220.74</v>
      </c>
      <c r="AT75" s="54">
        <v>22520.766875000001</v>
      </c>
      <c r="AU75" s="54">
        <v>387710.28823529411</v>
      </c>
      <c r="AV75" s="54">
        <v>251234.2737254902</v>
      </c>
      <c r="AW75" s="54">
        <v>638944.56196078437</v>
      </c>
      <c r="AX75" s="54">
        <v>7.6517857142857144</v>
      </c>
      <c r="AY75" s="54">
        <v>5.35</v>
      </c>
      <c r="AZ75" s="54">
        <v>2.9184782608695654</v>
      </c>
      <c r="BA75" s="54" t="s">
        <v>343</v>
      </c>
      <c r="BB75" s="54" t="s">
        <v>362</v>
      </c>
    </row>
    <row r="76" spans="1:54" x14ac:dyDescent="0.25">
      <c r="A76" s="54">
        <v>2530</v>
      </c>
      <c r="B76" s="54">
        <v>2017</v>
      </c>
      <c r="C76" s="88" t="s">
        <v>81</v>
      </c>
      <c r="D76" s="54" t="s">
        <v>7</v>
      </c>
      <c r="E76" s="54" t="s">
        <v>77</v>
      </c>
      <c r="F76" s="54" t="str">
        <f>_xlfn.CONCAT(Table13[[#This Row],[Geographic Scope]],": ",Table13[[#This Row],[Sub-Type/Focus]])</f>
        <v>Local: General</v>
      </c>
      <c r="G76" s="54" t="str">
        <f>_xlfn.CONCAT(Table13[[#This Row],[Geographic Scope]],": ",Table13[[#This Row],[Sub-Type/Focus]],": ",Table13[[#This Row],[Content Type]])</f>
        <v>Local: General: Investigative</v>
      </c>
      <c r="H76" s="54" t="str">
        <f>_xlfn.CONCAT(Table13[[#This Row],[Geographic Scope]],": ",Table13[[#This Row],[Content Type]])</f>
        <v>Local: Investigative</v>
      </c>
      <c r="I76" s="55">
        <v>424104.16791666672</v>
      </c>
      <c r="J76" s="55">
        <v>355987.7095833334</v>
      </c>
      <c r="K76" s="55">
        <v>90821.944444444438</v>
      </c>
      <c r="L76" s="54">
        <v>199414.17391304349</v>
      </c>
      <c r="M76" s="54">
        <v>43962.375</v>
      </c>
      <c r="N76" s="54">
        <v>134437.44083333336</v>
      </c>
      <c r="O76" s="54">
        <v>36564.803333333337</v>
      </c>
      <c r="P76" s="54">
        <v>22134.329166666666</v>
      </c>
      <c r="Q76" s="54">
        <v>75738.308333333334</v>
      </c>
      <c r="R76" s="54">
        <v>63163.575000000004</v>
      </c>
      <c r="S76" s="54">
        <v>151903.875</v>
      </c>
      <c r="T76" s="54">
        <v>5731.6</v>
      </c>
      <c r="U76" s="54">
        <v>18553.599999999999</v>
      </c>
      <c r="V76" s="54">
        <v>11781.5</v>
      </c>
      <c r="W76" s="54">
        <v>44251.666666666664</v>
      </c>
      <c r="X76" s="54">
        <v>35455</v>
      </c>
      <c r="Y76" s="54">
        <v>263905.73181818181</v>
      </c>
      <c r="Z76" s="54">
        <v>123772.3231818182</v>
      </c>
      <c r="AA76" s="54">
        <v>387678.05500000005</v>
      </c>
      <c r="AB76" s="54">
        <v>6.2847826086956529</v>
      </c>
      <c r="AC76" s="54">
        <v>4.6108695652173912</v>
      </c>
      <c r="AD76" s="54">
        <v>2.0263157894736841</v>
      </c>
      <c r="AE76" s="54">
        <v>506626.39920000004</v>
      </c>
      <c r="AF76" s="54">
        <v>357700.67571428569</v>
      </c>
      <c r="AG76" s="54">
        <v>185809.21071428573</v>
      </c>
      <c r="AH76" s="54">
        <v>218884.81978260871</v>
      </c>
      <c r="AI76" s="54">
        <v>102236.50937499999</v>
      </c>
      <c r="AJ76" s="54">
        <v>107951.91428571429</v>
      </c>
      <c r="AK76" s="54">
        <v>38492.880000000005</v>
      </c>
      <c r="AL76" s="54">
        <v>18903.348000000002</v>
      </c>
      <c r="AM76" s="54">
        <v>48396.648000000001</v>
      </c>
      <c r="AN76" s="54">
        <v>41015.649999999994</v>
      </c>
      <c r="AO76" s="54">
        <v>173323.45733333335</v>
      </c>
      <c r="AP76" s="54">
        <v>47006.517857142855</v>
      </c>
      <c r="AQ76" s="54">
        <v>38085.548461538463</v>
      </c>
      <c r="AR76" s="54">
        <v>121145.11111111111</v>
      </c>
      <c r="AS76" s="54">
        <v>220.74</v>
      </c>
      <c r="AT76" s="54">
        <v>22520.766875000001</v>
      </c>
      <c r="AU76" s="54">
        <v>387710.28823529411</v>
      </c>
      <c r="AV76" s="54">
        <v>251234.2737254902</v>
      </c>
      <c r="AW76" s="54">
        <v>638944.56196078437</v>
      </c>
      <c r="AX76" s="54">
        <v>7.6517857142857144</v>
      </c>
      <c r="AY76" s="54">
        <v>5.35</v>
      </c>
      <c r="AZ76" s="54">
        <v>2.9184782608695654</v>
      </c>
      <c r="BA76" s="54" t="s">
        <v>342</v>
      </c>
      <c r="BB76" s="54" t="s">
        <v>342</v>
      </c>
    </row>
    <row r="77" spans="1:54" x14ac:dyDescent="0.25">
      <c r="A77" s="54">
        <v>2915</v>
      </c>
      <c r="B77" s="54">
        <v>2017</v>
      </c>
      <c r="C77" s="88" t="s">
        <v>81</v>
      </c>
      <c r="D77" s="54" t="s">
        <v>7</v>
      </c>
      <c r="E77" s="54" t="s">
        <v>77</v>
      </c>
      <c r="F77" s="54" t="str">
        <f>_xlfn.CONCAT(Table13[[#This Row],[Geographic Scope]],": ",Table13[[#This Row],[Sub-Type/Focus]])</f>
        <v>Local: General</v>
      </c>
      <c r="G77" s="54" t="str">
        <f>_xlfn.CONCAT(Table13[[#This Row],[Geographic Scope]],": ",Table13[[#This Row],[Sub-Type/Focus]],": ",Table13[[#This Row],[Content Type]])</f>
        <v>Local: General: Investigative</v>
      </c>
      <c r="H77" s="54" t="str">
        <f>_xlfn.CONCAT(Table13[[#This Row],[Geographic Scope]],": ",Table13[[#This Row],[Content Type]])</f>
        <v>Local: Investigative</v>
      </c>
      <c r="I77" s="55">
        <v>424104.16791666672</v>
      </c>
      <c r="J77" s="55">
        <v>355987.7095833334</v>
      </c>
      <c r="K77" s="55">
        <v>90821.944444444438</v>
      </c>
      <c r="L77" s="54">
        <v>199414.17391304349</v>
      </c>
      <c r="M77" s="54">
        <v>43962.375</v>
      </c>
      <c r="N77" s="54">
        <v>134437.44083333336</v>
      </c>
      <c r="O77" s="54">
        <v>36564.803333333337</v>
      </c>
      <c r="P77" s="54">
        <v>22134.329166666666</v>
      </c>
      <c r="Q77" s="54">
        <v>75738.308333333334</v>
      </c>
      <c r="R77" s="54">
        <v>63163.575000000004</v>
      </c>
      <c r="S77" s="54">
        <v>151903.875</v>
      </c>
      <c r="T77" s="54">
        <v>5731.6</v>
      </c>
      <c r="U77" s="54">
        <v>18553.599999999999</v>
      </c>
      <c r="V77" s="54">
        <v>11781.5</v>
      </c>
      <c r="W77" s="54">
        <v>44251.666666666664</v>
      </c>
      <c r="X77" s="54">
        <v>35455</v>
      </c>
      <c r="Y77" s="54">
        <v>263905.73181818181</v>
      </c>
      <c r="Z77" s="54">
        <v>123772.3231818182</v>
      </c>
      <c r="AA77" s="54">
        <v>387678.05500000005</v>
      </c>
      <c r="AB77" s="54">
        <v>6.2847826086956529</v>
      </c>
      <c r="AC77" s="54">
        <v>4.6108695652173912</v>
      </c>
      <c r="AD77" s="54">
        <v>2.0263157894736841</v>
      </c>
      <c r="AE77" s="54">
        <v>506626.39920000004</v>
      </c>
      <c r="AF77" s="54">
        <v>357700.67571428569</v>
      </c>
      <c r="AG77" s="54">
        <v>185809.21071428573</v>
      </c>
      <c r="AH77" s="54">
        <v>218884.81978260871</v>
      </c>
      <c r="AI77" s="54">
        <v>102236.50937499999</v>
      </c>
      <c r="AJ77" s="54">
        <v>107951.91428571429</v>
      </c>
      <c r="AK77" s="54">
        <v>38492.880000000005</v>
      </c>
      <c r="AL77" s="54">
        <v>18903.348000000002</v>
      </c>
      <c r="AM77" s="54">
        <v>48396.648000000001</v>
      </c>
      <c r="AN77" s="54">
        <v>41015.649999999994</v>
      </c>
      <c r="AO77" s="54">
        <v>173323.45733333335</v>
      </c>
      <c r="AP77" s="54">
        <v>47006.517857142855</v>
      </c>
      <c r="AQ77" s="54">
        <v>38085.548461538463</v>
      </c>
      <c r="AR77" s="54">
        <v>121145.11111111111</v>
      </c>
      <c r="AS77" s="54">
        <v>220.74</v>
      </c>
      <c r="AT77" s="54">
        <v>22520.766875000001</v>
      </c>
      <c r="AU77" s="54">
        <v>387710.28823529411</v>
      </c>
      <c r="AV77" s="54">
        <v>251234.2737254902</v>
      </c>
      <c r="AW77" s="54">
        <v>638944.56196078437</v>
      </c>
      <c r="AX77" s="54">
        <v>7.6517857142857144</v>
      </c>
      <c r="AY77" s="54">
        <v>5.35</v>
      </c>
      <c r="AZ77" s="54">
        <v>2.9184782608695654</v>
      </c>
      <c r="BA77" s="54" t="s">
        <v>339</v>
      </c>
      <c r="BB77" s="54" t="s">
        <v>359</v>
      </c>
    </row>
    <row r="78" spans="1:54" x14ac:dyDescent="0.25">
      <c r="A78" s="54">
        <v>2938</v>
      </c>
      <c r="B78" s="54">
        <v>2012</v>
      </c>
      <c r="C78" s="88" t="s">
        <v>81</v>
      </c>
      <c r="D78" s="54" t="s">
        <v>7</v>
      </c>
      <c r="E78" s="54" t="s">
        <v>77</v>
      </c>
      <c r="F78" s="54" t="str">
        <f>_xlfn.CONCAT(Table13[[#This Row],[Geographic Scope]],": ",Table13[[#This Row],[Sub-Type/Focus]])</f>
        <v>Local: General</v>
      </c>
      <c r="G78" s="54" t="str">
        <f>_xlfn.CONCAT(Table13[[#This Row],[Geographic Scope]],": ",Table13[[#This Row],[Sub-Type/Focus]],": ",Table13[[#This Row],[Content Type]])</f>
        <v>Local: General: Investigative</v>
      </c>
      <c r="H78" s="54" t="str">
        <f>_xlfn.CONCAT(Table13[[#This Row],[Geographic Scope]],": ",Table13[[#This Row],[Content Type]])</f>
        <v>Local: Investigative</v>
      </c>
      <c r="I78" s="55">
        <v>424104.16791666672</v>
      </c>
      <c r="J78" s="55">
        <v>355987.7095833334</v>
      </c>
      <c r="K78" s="55">
        <v>90821.944444444438</v>
      </c>
      <c r="L78" s="54">
        <v>199414.17391304349</v>
      </c>
      <c r="M78" s="54">
        <v>43962.375</v>
      </c>
      <c r="N78" s="54">
        <v>134437.44083333336</v>
      </c>
      <c r="O78" s="54">
        <v>36564.803333333337</v>
      </c>
      <c r="P78" s="54">
        <v>22134.329166666666</v>
      </c>
      <c r="Q78" s="54">
        <v>75738.308333333334</v>
      </c>
      <c r="R78" s="54">
        <v>63163.575000000004</v>
      </c>
      <c r="S78" s="54">
        <v>151903.875</v>
      </c>
      <c r="T78" s="54">
        <v>5731.6</v>
      </c>
      <c r="U78" s="54">
        <v>18553.599999999999</v>
      </c>
      <c r="V78" s="54">
        <v>11781.5</v>
      </c>
      <c r="W78" s="54">
        <v>44251.666666666664</v>
      </c>
      <c r="X78" s="54">
        <v>35455</v>
      </c>
      <c r="Y78" s="54">
        <v>263905.73181818181</v>
      </c>
      <c r="Z78" s="54">
        <v>123772.3231818182</v>
      </c>
      <c r="AA78" s="54">
        <v>387678.05500000005</v>
      </c>
      <c r="AB78" s="54">
        <v>6.2847826086956529</v>
      </c>
      <c r="AC78" s="54">
        <v>4.6108695652173912</v>
      </c>
      <c r="AD78" s="54">
        <v>2.0263157894736841</v>
      </c>
      <c r="AE78" s="54">
        <v>506626.39920000004</v>
      </c>
      <c r="AF78" s="54">
        <v>357700.67571428569</v>
      </c>
      <c r="AG78" s="54">
        <v>185809.21071428573</v>
      </c>
      <c r="AH78" s="54">
        <v>218884.81978260871</v>
      </c>
      <c r="AI78" s="54">
        <v>102236.50937499999</v>
      </c>
      <c r="AJ78" s="54">
        <v>107951.91428571429</v>
      </c>
      <c r="AK78" s="54">
        <v>38492.880000000005</v>
      </c>
      <c r="AL78" s="54">
        <v>18903.348000000002</v>
      </c>
      <c r="AM78" s="54">
        <v>48396.648000000001</v>
      </c>
      <c r="AN78" s="54">
        <v>41015.649999999994</v>
      </c>
      <c r="AO78" s="54">
        <v>173323.45733333335</v>
      </c>
      <c r="AP78" s="54">
        <v>47006.517857142855</v>
      </c>
      <c r="AQ78" s="54">
        <v>38085.548461538463</v>
      </c>
      <c r="AR78" s="54">
        <v>121145.11111111111</v>
      </c>
      <c r="AS78" s="54">
        <v>220.74</v>
      </c>
      <c r="AT78" s="54">
        <v>22520.766875000001</v>
      </c>
      <c r="AU78" s="54">
        <v>387710.28823529411</v>
      </c>
      <c r="AV78" s="54">
        <v>251234.2737254902</v>
      </c>
      <c r="AW78" s="54">
        <v>638944.56196078437</v>
      </c>
      <c r="AX78" s="54">
        <v>7.6517857142857144</v>
      </c>
      <c r="AY78" s="54">
        <v>5.35</v>
      </c>
      <c r="AZ78" s="54">
        <v>2.9184782608695654</v>
      </c>
      <c r="BA78" s="54" t="s">
        <v>342</v>
      </c>
    </row>
    <row r="79" spans="1:54" x14ac:dyDescent="0.25">
      <c r="A79" s="54">
        <v>2985</v>
      </c>
      <c r="B79" s="54">
        <v>2019</v>
      </c>
      <c r="C79" s="88" t="s">
        <v>81</v>
      </c>
      <c r="D79" s="54" t="s">
        <v>7</v>
      </c>
      <c r="E79" s="54" t="s">
        <v>77</v>
      </c>
      <c r="F79" s="54" t="str">
        <f>_xlfn.CONCAT(Table13[[#This Row],[Geographic Scope]],": ",Table13[[#This Row],[Sub-Type/Focus]])</f>
        <v>Local: General</v>
      </c>
      <c r="G79" s="54" t="str">
        <f>_xlfn.CONCAT(Table13[[#This Row],[Geographic Scope]],": ",Table13[[#This Row],[Sub-Type/Focus]],": ",Table13[[#This Row],[Content Type]])</f>
        <v>Local: General: Investigative</v>
      </c>
      <c r="H79" s="54" t="str">
        <f>_xlfn.CONCAT(Table13[[#This Row],[Geographic Scope]],": ",Table13[[#This Row],[Content Type]])</f>
        <v>Local: Investigative</v>
      </c>
      <c r="I79" s="55">
        <v>424104.16791666672</v>
      </c>
      <c r="J79" s="55">
        <v>355987.7095833334</v>
      </c>
      <c r="K79" s="55">
        <v>90821.944444444438</v>
      </c>
      <c r="L79" s="54">
        <v>199414.17391304349</v>
      </c>
      <c r="M79" s="54">
        <v>43962.375</v>
      </c>
      <c r="N79" s="54">
        <v>134437.44083333336</v>
      </c>
      <c r="O79" s="54">
        <v>36564.803333333337</v>
      </c>
      <c r="P79" s="54">
        <v>22134.329166666666</v>
      </c>
      <c r="Q79" s="54">
        <v>75738.308333333334</v>
      </c>
      <c r="R79" s="54">
        <v>63163.575000000004</v>
      </c>
      <c r="S79" s="54">
        <v>151903.875</v>
      </c>
      <c r="T79" s="54">
        <v>5731.6</v>
      </c>
      <c r="U79" s="54">
        <v>18553.599999999999</v>
      </c>
      <c r="V79" s="54">
        <v>11781.5</v>
      </c>
      <c r="W79" s="54">
        <v>44251.666666666664</v>
      </c>
      <c r="X79" s="54">
        <v>35455</v>
      </c>
      <c r="Y79" s="54">
        <v>263905.73181818181</v>
      </c>
      <c r="Z79" s="54">
        <v>123772.3231818182</v>
      </c>
      <c r="AA79" s="54">
        <v>387678.05500000005</v>
      </c>
      <c r="AB79" s="54">
        <v>6.2847826086956529</v>
      </c>
      <c r="AC79" s="54">
        <v>4.6108695652173912</v>
      </c>
      <c r="AD79" s="54">
        <v>2.0263157894736841</v>
      </c>
      <c r="AE79" s="54">
        <v>506626.39920000004</v>
      </c>
      <c r="AF79" s="54">
        <v>357700.67571428569</v>
      </c>
      <c r="AG79" s="54">
        <v>185809.21071428573</v>
      </c>
      <c r="AH79" s="54">
        <v>218884.81978260871</v>
      </c>
      <c r="AI79" s="54">
        <v>102236.50937499999</v>
      </c>
      <c r="AJ79" s="54">
        <v>107951.91428571429</v>
      </c>
      <c r="AK79" s="54">
        <v>38492.880000000005</v>
      </c>
      <c r="AL79" s="54">
        <v>18903.348000000002</v>
      </c>
      <c r="AM79" s="54">
        <v>48396.648000000001</v>
      </c>
      <c r="AN79" s="54">
        <v>41015.649999999994</v>
      </c>
      <c r="AO79" s="54">
        <v>173323.45733333335</v>
      </c>
      <c r="AP79" s="54">
        <v>47006.517857142855</v>
      </c>
      <c r="AQ79" s="54">
        <v>38085.548461538463</v>
      </c>
      <c r="AR79" s="54">
        <v>121145.11111111111</v>
      </c>
      <c r="AS79" s="54">
        <v>220.74</v>
      </c>
      <c r="AT79" s="54">
        <v>22520.766875000001</v>
      </c>
      <c r="AU79" s="54">
        <v>387710.28823529411</v>
      </c>
      <c r="AV79" s="54">
        <v>251234.2737254902</v>
      </c>
      <c r="AW79" s="54">
        <v>638944.56196078437</v>
      </c>
      <c r="AX79" s="54">
        <v>7.6517857142857144</v>
      </c>
      <c r="AY79" s="54">
        <v>5.35</v>
      </c>
      <c r="AZ79" s="54">
        <v>2.9184782608695654</v>
      </c>
      <c r="BA79" s="54" t="s">
        <v>339</v>
      </c>
      <c r="BB79" s="54" t="s">
        <v>348</v>
      </c>
    </row>
    <row r="80" spans="1:54" x14ac:dyDescent="0.25">
      <c r="A80" s="54">
        <v>6811</v>
      </c>
      <c r="B80" s="54">
        <v>1971</v>
      </c>
      <c r="C80" s="88" t="s">
        <v>81</v>
      </c>
      <c r="D80" s="54" t="s">
        <v>7</v>
      </c>
      <c r="E80" s="54" t="s">
        <v>77</v>
      </c>
      <c r="F80" s="54" t="str">
        <f>_xlfn.CONCAT(Table13[[#This Row],[Geographic Scope]],": ",Table13[[#This Row],[Sub-Type/Focus]])</f>
        <v>Local: General</v>
      </c>
      <c r="G80" s="54" t="str">
        <f>_xlfn.CONCAT(Table13[[#This Row],[Geographic Scope]],": ",Table13[[#This Row],[Sub-Type/Focus]],": ",Table13[[#This Row],[Content Type]])</f>
        <v>Local: General: Investigative</v>
      </c>
      <c r="H80" s="54" t="str">
        <f>_xlfn.CONCAT(Table13[[#This Row],[Geographic Scope]],": ",Table13[[#This Row],[Content Type]])</f>
        <v>Local: Investigative</v>
      </c>
      <c r="I80" s="55">
        <v>424104.16791666672</v>
      </c>
      <c r="J80" s="55">
        <v>355987.7095833334</v>
      </c>
      <c r="K80" s="55">
        <v>90821.944444444438</v>
      </c>
      <c r="L80" s="54">
        <v>199414.17391304349</v>
      </c>
      <c r="M80" s="54">
        <v>43962.375</v>
      </c>
      <c r="N80" s="54">
        <v>134437.44083333336</v>
      </c>
      <c r="O80" s="54">
        <v>36564.803333333337</v>
      </c>
      <c r="P80" s="54">
        <v>22134.329166666666</v>
      </c>
      <c r="Q80" s="54">
        <v>75738.308333333334</v>
      </c>
      <c r="R80" s="54">
        <v>63163.575000000004</v>
      </c>
      <c r="S80" s="54">
        <v>151903.875</v>
      </c>
      <c r="T80" s="54">
        <v>5731.6</v>
      </c>
      <c r="U80" s="54">
        <v>18553.599999999999</v>
      </c>
      <c r="V80" s="54">
        <v>11781.5</v>
      </c>
      <c r="W80" s="54">
        <v>44251.666666666664</v>
      </c>
      <c r="X80" s="54">
        <v>35455</v>
      </c>
      <c r="Y80" s="54">
        <v>263905.73181818181</v>
      </c>
      <c r="Z80" s="54">
        <v>123772.3231818182</v>
      </c>
      <c r="AA80" s="54">
        <v>387678.05500000005</v>
      </c>
      <c r="AB80" s="54">
        <v>6.2847826086956529</v>
      </c>
      <c r="AC80" s="54">
        <v>4.6108695652173912</v>
      </c>
      <c r="AD80" s="54">
        <v>2.0263157894736841</v>
      </c>
      <c r="AE80" s="54">
        <v>506626.39920000004</v>
      </c>
      <c r="AF80" s="54">
        <v>357700.67571428569</v>
      </c>
      <c r="AG80" s="54">
        <v>185809.21071428573</v>
      </c>
      <c r="AH80" s="54">
        <v>218884.81978260871</v>
      </c>
      <c r="AI80" s="54">
        <v>102236.50937499999</v>
      </c>
      <c r="AJ80" s="54">
        <v>107951.91428571429</v>
      </c>
      <c r="AK80" s="54">
        <v>38492.880000000005</v>
      </c>
      <c r="AL80" s="54">
        <v>18903.348000000002</v>
      </c>
      <c r="AM80" s="54">
        <v>48396.648000000001</v>
      </c>
      <c r="AN80" s="54">
        <v>41015.649999999994</v>
      </c>
      <c r="AO80" s="54">
        <v>173323.45733333335</v>
      </c>
      <c r="AP80" s="54">
        <v>47006.517857142855</v>
      </c>
      <c r="AQ80" s="54">
        <v>38085.548461538463</v>
      </c>
      <c r="AR80" s="54">
        <v>121145.11111111111</v>
      </c>
      <c r="AS80" s="54">
        <v>220.74</v>
      </c>
      <c r="AT80" s="54">
        <v>22520.766875000001</v>
      </c>
      <c r="AU80" s="54">
        <v>387710.28823529411</v>
      </c>
      <c r="AV80" s="54">
        <v>251234.2737254902</v>
      </c>
      <c r="AW80" s="54">
        <v>638944.56196078437</v>
      </c>
      <c r="AX80" s="54">
        <v>7.6517857142857144</v>
      </c>
      <c r="AY80" s="54">
        <v>5.35</v>
      </c>
      <c r="AZ80" s="54">
        <v>2.9184782608695654</v>
      </c>
      <c r="BA80" s="54" t="s">
        <v>339</v>
      </c>
      <c r="BB80" s="54" t="s">
        <v>352</v>
      </c>
    </row>
    <row r="81" spans="1:54" x14ac:dyDescent="0.25">
      <c r="A81" s="54">
        <v>6837</v>
      </c>
      <c r="B81" s="54">
        <v>2020</v>
      </c>
      <c r="C81" s="88" t="s">
        <v>81</v>
      </c>
      <c r="D81" s="54" t="s">
        <v>7</v>
      </c>
      <c r="E81" s="54" t="s">
        <v>77</v>
      </c>
      <c r="F81" s="54" t="str">
        <f>_xlfn.CONCAT(Table13[[#This Row],[Geographic Scope]],": ",Table13[[#This Row],[Sub-Type/Focus]])</f>
        <v>Local: General</v>
      </c>
      <c r="G81" s="54" t="str">
        <f>_xlfn.CONCAT(Table13[[#This Row],[Geographic Scope]],": ",Table13[[#This Row],[Sub-Type/Focus]],": ",Table13[[#This Row],[Content Type]])</f>
        <v>Local: General: Investigative</v>
      </c>
      <c r="H81" s="54" t="str">
        <f>_xlfn.CONCAT(Table13[[#This Row],[Geographic Scope]],": ",Table13[[#This Row],[Content Type]])</f>
        <v>Local: Investigative</v>
      </c>
      <c r="I81" s="55">
        <v>424104.16791666672</v>
      </c>
      <c r="J81" s="55">
        <v>355987.7095833334</v>
      </c>
      <c r="K81" s="55">
        <v>90821.944444444438</v>
      </c>
      <c r="L81" s="54">
        <v>199414.17391304349</v>
      </c>
      <c r="M81" s="54">
        <v>43962.375</v>
      </c>
      <c r="N81" s="54">
        <v>134437.44083333336</v>
      </c>
      <c r="O81" s="54">
        <v>36564.803333333337</v>
      </c>
      <c r="P81" s="54">
        <v>22134.329166666666</v>
      </c>
      <c r="Q81" s="54">
        <v>75738.308333333334</v>
      </c>
      <c r="R81" s="54">
        <v>63163.575000000004</v>
      </c>
      <c r="S81" s="54">
        <v>151903.875</v>
      </c>
      <c r="T81" s="54">
        <v>5731.6</v>
      </c>
      <c r="U81" s="54">
        <v>18553.599999999999</v>
      </c>
      <c r="V81" s="54">
        <v>11781.5</v>
      </c>
      <c r="W81" s="54">
        <v>44251.666666666664</v>
      </c>
      <c r="X81" s="54">
        <v>35455</v>
      </c>
      <c r="Y81" s="54">
        <v>263905.73181818181</v>
      </c>
      <c r="Z81" s="54">
        <v>123772.3231818182</v>
      </c>
      <c r="AA81" s="54">
        <v>387678.05500000005</v>
      </c>
      <c r="AB81" s="54">
        <v>6.2847826086956529</v>
      </c>
      <c r="AC81" s="54">
        <v>4.6108695652173912</v>
      </c>
      <c r="AD81" s="54">
        <v>2.0263157894736841</v>
      </c>
      <c r="AE81" s="54">
        <v>506626.39920000004</v>
      </c>
      <c r="AF81" s="54">
        <v>357700.67571428569</v>
      </c>
      <c r="AG81" s="54">
        <v>185809.21071428573</v>
      </c>
      <c r="AH81" s="54">
        <v>218884.81978260871</v>
      </c>
      <c r="AI81" s="54">
        <v>102236.50937499999</v>
      </c>
      <c r="AJ81" s="54">
        <v>107951.91428571429</v>
      </c>
      <c r="AK81" s="54">
        <v>38492.880000000005</v>
      </c>
      <c r="AL81" s="54">
        <v>18903.348000000002</v>
      </c>
      <c r="AM81" s="54">
        <v>48396.648000000001</v>
      </c>
      <c r="AN81" s="54">
        <v>41015.649999999994</v>
      </c>
      <c r="AO81" s="54">
        <v>173323.45733333335</v>
      </c>
      <c r="AP81" s="54">
        <v>47006.517857142855</v>
      </c>
      <c r="AQ81" s="54">
        <v>38085.548461538463</v>
      </c>
      <c r="AR81" s="54">
        <v>121145.11111111111</v>
      </c>
      <c r="AS81" s="54">
        <v>220.74</v>
      </c>
      <c r="AT81" s="54">
        <v>22520.766875000001</v>
      </c>
      <c r="AU81" s="54">
        <v>387710.28823529411</v>
      </c>
      <c r="AV81" s="54">
        <v>251234.2737254902</v>
      </c>
      <c r="AW81" s="54">
        <v>638944.56196078437</v>
      </c>
      <c r="AX81" s="54">
        <v>7.6517857142857144</v>
      </c>
      <c r="AY81" s="54">
        <v>5.35</v>
      </c>
      <c r="AZ81" s="54">
        <v>2.9184782608695654</v>
      </c>
      <c r="BA81" s="54" t="s">
        <v>342</v>
      </c>
    </row>
    <row r="82" spans="1:54" x14ac:dyDescent="0.25">
      <c r="A82" s="54">
        <v>6846</v>
      </c>
      <c r="B82" s="54">
        <v>2019</v>
      </c>
      <c r="C82" s="88" t="s">
        <v>81</v>
      </c>
      <c r="D82" s="54" t="s">
        <v>7</v>
      </c>
      <c r="E82" s="54" t="s">
        <v>77</v>
      </c>
      <c r="F82" s="54" t="str">
        <f>_xlfn.CONCAT(Table13[[#This Row],[Geographic Scope]],": ",Table13[[#This Row],[Sub-Type/Focus]])</f>
        <v>Local: General</v>
      </c>
      <c r="G82" s="54" t="str">
        <f>_xlfn.CONCAT(Table13[[#This Row],[Geographic Scope]],": ",Table13[[#This Row],[Sub-Type/Focus]],": ",Table13[[#This Row],[Content Type]])</f>
        <v>Local: General: Investigative</v>
      </c>
      <c r="H82" s="54" t="str">
        <f>_xlfn.CONCAT(Table13[[#This Row],[Geographic Scope]],": ",Table13[[#This Row],[Content Type]])</f>
        <v>Local: Investigative</v>
      </c>
      <c r="I82" s="55">
        <v>424104.16791666672</v>
      </c>
      <c r="J82" s="55">
        <v>355987.7095833334</v>
      </c>
      <c r="K82" s="55">
        <v>90821.944444444438</v>
      </c>
      <c r="L82" s="54">
        <v>199414.17391304349</v>
      </c>
      <c r="M82" s="54">
        <v>43962.375</v>
      </c>
      <c r="N82" s="54">
        <v>134437.44083333336</v>
      </c>
      <c r="O82" s="54">
        <v>36564.803333333337</v>
      </c>
      <c r="P82" s="54">
        <v>22134.329166666666</v>
      </c>
      <c r="Q82" s="54">
        <v>75738.308333333334</v>
      </c>
      <c r="R82" s="54">
        <v>63163.575000000004</v>
      </c>
      <c r="S82" s="54">
        <v>151903.875</v>
      </c>
      <c r="T82" s="54">
        <v>5731.6</v>
      </c>
      <c r="U82" s="54">
        <v>18553.599999999999</v>
      </c>
      <c r="V82" s="54">
        <v>11781.5</v>
      </c>
      <c r="W82" s="54">
        <v>44251.666666666664</v>
      </c>
      <c r="X82" s="54">
        <v>35455</v>
      </c>
      <c r="Y82" s="54">
        <v>263905.73181818181</v>
      </c>
      <c r="Z82" s="54">
        <v>123772.3231818182</v>
      </c>
      <c r="AA82" s="54">
        <v>387678.05500000005</v>
      </c>
      <c r="AB82" s="54">
        <v>6.2847826086956529</v>
      </c>
      <c r="AC82" s="54">
        <v>4.6108695652173912</v>
      </c>
      <c r="AD82" s="54">
        <v>2.0263157894736841</v>
      </c>
      <c r="AE82" s="54">
        <v>506626.39920000004</v>
      </c>
      <c r="AF82" s="54">
        <v>357700.67571428569</v>
      </c>
      <c r="AG82" s="54">
        <v>185809.21071428573</v>
      </c>
      <c r="AH82" s="54">
        <v>218884.81978260871</v>
      </c>
      <c r="AI82" s="54">
        <v>102236.50937499999</v>
      </c>
      <c r="AJ82" s="54">
        <v>107951.91428571429</v>
      </c>
      <c r="AK82" s="54">
        <v>38492.880000000005</v>
      </c>
      <c r="AL82" s="54">
        <v>18903.348000000002</v>
      </c>
      <c r="AM82" s="54">
        <v>48396.648000000001</v>
      </c>
      <c r="AN82" s="54">
        <v>41015.649999999994</v>
      </c>
      <c r="AO82" s="54">
        <v>173323.45733333335</v>
      </c>
      <c r="AP82" s="54">
        <v>47006.517857142855</v>
      </c>
      <c r="AQ82" s="54">
        <v>38085.548461538463</v>
      </c>
      <c r="AR82" s="54">
        <v>121145.11111111111</v>
      </c>
      <c r="AS82" s="54">
        <v>220.74</v>
      </c>
      <c r="AT82" s="54">
        <v>22520.766875000001</v>
      </c>
      <c r="AU82" s="54">
        <v>387710.28823529411</v>
      </c>
      <c r="AV82" s="54">
        <v>251234.2737254902</v>
      </c>
      <c r="AW82" s="54">
        <v>638944.56196078437</v>
      </c>
      <c r="AX82" s="54">
        <v>7.6517857142857144</v>
      </c>
      <c r="AY82" s="54">
        <v>5.35</v>
      </c>
      <c r="AZ82" s="54">
        <v>2.9184782608695654</v>
      </c>
      <c r="BA82" s="54" t="s">
        <v>342</v>
      </c>
    </row>
    <row r="83" spans="1:54" x14ac:dyDescent="0.25">
      <c r="B83" s="54">
        <v>2018</v>
      </c>
      <c r="C83" s="88" t="s">
        <v>81</v>
      </c>
      <c r="D83" s="54" t="s">
        <v>7</v>
      </c>
      <c r="E83" s="54" t="s">
        <v>77</v>
      </c>
      <c r="F83" s="54" t="str">
        <f>_xlfn.CONCAT(Table13[[#This Row],[Geographic Scope]],": ",Table13[[#This Row],[Sub-Type/Focus]])</f>
        <v>Local: General</v>
      </c>
      <c r="G83" s="54" t="str">
        <f>_xlfn.CONCAT(Table13[[#This Row],[Geographic Scope]],": ",Table13[[#This Row],[Sub-Type/Focus]],": ",Table13[[#This Row],[Content Type]])</f>
        <v>Local: General: Investigative</v>
      </c>
      <c r="H83" s="54" t="str">
        <f>_xlfn.CONCAT(Table13[[#This Row],[Geographic Scope]],": ",Table13[[#This Row],[Content Type]])</f>
        <v>Local: Investigative</v>
      </c>
      <c r="I83" s="55">
        <v>424104.16791666672</v>
      </c>
      <c r="J83" s="55">
        <v>355987.7095833334</v>
      </c>
      <c r="K83" s="55">
        <v>90821.944444444438</v>
      </c>
      <c r="L83" s="54">
        <v>199414.17391304349</v>
      </c>
      <c r="M83" s="54">
        <v>43962.375</v>
      </c>
      <c r="N83" s="54">
        <v>134437.44083333336</v>
      </c>
      <c r="O83" s="54">
        <v>36564.803333333337</v>
      </c>
      <c r="P83" s="54">
        <v>22134.329166666666</v>
      </c>
      <c r="Q83" s="54">
        <v>75738.308333333334</v>
      </c>
      <c r="R83" s="54">
        <v>63163.575000000004</v>
      </c>
      <c r="S83" s="54">
        <v>151903.875</v>
      </c>
      <c r="T83" s="54">
        <v>5731.6</v>
      </c>
      <c r="U83" s="54">
        <v>18553.599999999999</v>
      </c>
      <c r="V83" s="54">
        <v>11781.5</v>
      </c>
      <c r="W83" s="54">
        <v>44251.666666666664</v>
      </c>
      <c r="X83" s="54">
        <v>35455</v>
      </c>
      <c r="Y83" s="54">
        <v>263905.73181818181</v>
      </c>
      <c r="Z83" s="54">
        <v>123772.3231818182</v>
      </c>
      <c r="AA83" s="54">
        <v>387678.05500000005</v>
      </c>
      <c r="AB83" s="54">
        <v>6.2847826086956529</v>
      </c>
      <c r="AC83" s="54">
        <v>4.6108695652173912</v>
      </c>
      <c r="AD83" s="54">
        <v>2.0263157894736841</v>
      </c>
      <c r="AE83" s="54">
        <v>506626.39920000004</v>
      </c>
      <c r="AF83" s="54">
        <v>357700.67571428569</v>
      </c>
      <c r="AG83" s="54">
        <v>185809.21071428573</v>
      </c>
      <c r="AH83" s="54">
        <v>218884.81978260871</v>
      </c>
      <c r="AI83" s="54">
        <v>102236.50937499999</v>
      </c>
      <c r="AJ83" s="54">
        <v>107951.91428571429</v>
      </c>
      <c r="AK83" s="54">
        <v>38492.880000000005</v>
      </c>
      <c r="AL83" s="54">
        <v>18903.348000000002</v>
      </c>
      <c r="AM83" s="54">
        <v>48396.648000000001</v>
      </c>
      <c r="AN83" s="54">
        <v>41015.649999999994</v>
      </c>
      <c r="AO83" s="54">
        <v>173323.45733333335</v>
      </c>
      <c r="AP83" s="54">
        <v>47006.517857142855</v>
      </c>
      <c r="AQ83" s="54">
        <v>38085.548461538463</v>
      </c>
      <c r="AR83" s="54">
        <v>121145.11111111111</v>
      </c>
      <c r="AS83" s="54">
        <v>220.74</v>
      </c>
      <c r="AT83" s="54">
        <v>22520.766875000001</v>
      </c>
      <c r="AU83" s="54">
        <v>387710.28823529411</v>
      </c>
      <c r="AV83" s="54">
        <v>251234.2737254902</v>
      </c>
      <c r="AW83" s="54">
        <v>638944.56196078437</v>
      </c>
      <c r="AX83" s="54">
        <v>7.6517857142857144</v>
      </c>
      <c r="AY83" s="54">
        <v>5.35</v>
      </c>
      <c r="AZ83" s="54">
        <v>2.9184782608695654</v>
      </c>
      <c r="BA83" s="54" t="s">
        <v>342</v>
      </c>
      <c r="BB83" s="54" t="s">
        <v>346</v>
      </c>
    </row>
    <row r="84" spans="1:54" x14ac:dyDescent="0.25">
      <c r="A84" s="54">
        <v>323</v>
      </c>
      <c r="B84" s="54">
        <v>2014</v>
      </c>
      <c r="C84" s="88" t="s">
        <v>81</v>
      </c>
      <c r="D84" s="54" t="s">
        <v>7</v>
      </c>
      <c r="E84" s="54" t="s">
        <v>78</v>
      </c>
      <c r="F84" s="54" t="str">
        <f>_xlfn.CONCAT(Table13[[#This Row],[Geographic Scope]],": ",Table13[[#This Row],[Sub-Type/Focus]])</f>
        <v>Local: Multiple Related Topics</v>
      </c>
      <c r="G84" s="54" t="str">
        <f>_xlfn.CONCAT(Table13[[#This Row],[Geographic Scope]],": ",Table13[[#This Row],[Sub-Type/Focus]],": ",Table13[[#This Row],[Content Type]])</f>
        <v>Local: Multiple Related Topics: Investigative</v>
      </c>
      <c r="H84" s="54" t="str">
        <f>_xlfn.CONCAT(Table13[[#This Row],[Geographic Scope]],": ",Table13[[#This Row],[Content Type]])</f>
        <v>Local: Investigative</v>
      </c>
      <c r="I84" s="55">
        <v>424104.16791666672</v>
      </c>
      <c r="J84" s="55">
        <v>355987.7095833334</v>
      </c>
      <c r="K84" s="55">
        <v>90821.944444444438</v>
      </c>
      <c r="L84" s="54">
        <v>199414.17391304349</v>
      </c>
      <c r="M84" s="54">
        <v>43962.375</v>
      </c>
      <c r="N84" s="54">
        <v>134437.44083333336</v>
      </c>
      <c r="O84" s="54">
        <v>36564.803333333337</v>
      </c>
      <c r="P84" s="54">
        <v>22134.329166666666</v>
      </c>
      <c r="Q84" s="54">
        <v>75738.308333333334</v>
      </c>
      <c r="R84" s="54">
        <v>63163.575000000004</v>
      </c>
      <c r="S84" s="54">
        <v>151903.875</v>
      </c>
      <c r="T84" s="54">
        <v>5731.6</v>
      </c>
      <c r="U84" s="54">
        <v>18553.599999999999</v>
      </c>
      <c r="V84" s="54">
        <v>11781.5</v>
      </c>
      <c r="W84" s="54">
        <v>44251.666666666664</v>
      </c>
      <c r="X84" s="54">
        <v>35455</v>
      </c>
      <c r="Y84" s="54">
        <v>263905.73181818181</v>
      </c>
      <c r="Z84" s="54">
        <v>123772.3231818182</v>
      </c>
      <c r="AA84" s="54">
        <v>387678.05500000005</v>
      </c>
      <c r="AB84" s="54">
        <v>6.2847826086956529</v>
      </c>
      <c r="AC84" s="54">
        <v>4.6108695652173912</v>
      </c>
      <c r="AD84" s="54">
        <v>2.0263157894736841</v>
      </c>
      <c r="AE84" s="54">
        <v>603376.88636363635</v>
      </c>
      <c r="AF84" s="54">
        <v>550974.69818181824</v>
      </c>
      <c r="AG84" s="54">
        <v>67814.596470588236</v>
      </c>
      <c r="AH84" s="54">
        <v>401868.64399999997</v>
      </c>
      <c r="AI84" s="54">
        <v>100862.508</v>
      </c>
      <c r="AJ84" s="54">
        <v>157759.90190476191</v>
      </c>
      <c r="AK84" s="54">
        <v>35004.997272727269</v>
      </c>
      <c r="AL84" s="54">
        <v>24071.454545454544</v>
      </c>
      <c r="AM84" s="54">
        <v>91512.545454545456</v>
      </c>
      <c r="AN84" s="54">
        <v>44466.666666666664</v>
      </c>
      <c r="AO84" s="54">
        <v>15814.779999999999</v>
      </c>
      <c r="AP84" s="54">
        <v>35120.166666666664</v>
      </c>
      <c r="AQ84" s="54">
        <v>22715</v>
      </c>
      <c r="AR84" s="54">
        <v>212379</v>
      </c>
      <c r="AS84" s="54">
        <v>41965</v>
      </c>
      <c r="AT84" s="54">
        <v>56979.208571428571</v>
      </c>
      <c r="AU84" s="54">
        <v>280046.55809523811</v>
      </c>
      <c r="AV84" s="54">
        <v>195255.61380952378</v>
      </c>
      <c r="AW84" s="54">
        <v>475302.17190476198</v>
      </c>
      <c r="AX84" s="54">
        <v>6.1977272727272741</v>
      </c>
      <c r="AY84" s="54">
        <v>4.7613636363636367</v>
      </c>
      <c r="AZ84" s="54">
        <v>2.1066666666666669</v>
      </c>
      <c r="BA84" s="54" t="s">
        <v>342</v>
      </c>
      <c r="BB84" s="54" t="s">
        <v>357</v>
      </c>
    </row>
    <row r="85" spans="1:54" x14ac:dyDescent="0.25">
      <c r="A85" s="54">
        <v>329</v>
      </c>
      <c r="B85" s="54">
        <v>2011</v>
      </c>
      <c r="C85" s="88" t="s">
        <v>81</v>
      </c>
      <c r="D85" s="54" t="s">
        <v>7</v>
      </c>
      <c r="E85" s="54" t="s">
        <v>78</v>
      </c>
      <c r="F85" s="54" t="str">
        <f>_xlfn.CONCAT(Table13[[#This Row],[Geographic Scope]],": ",Table13[[#This Row],[Sub-Type/Focus]])</f>
        <v>Local: Multiple Related Topics</v>
      </c>
      <c r="G85" s="54" t="str">
        <f>_xlfn.CONCAT(Table13[[#This Row],[Geographic Scope]],": ",Table13[[#This Row],[Sub-Type/Focus]],": ",Table13[[#This Row],[Content Type]])</f>
        <v>Local: Multiple Related Topics: Investigative</v>
      </c>
      <c r="H85" s="54" t="str">
        <f>_xlfn.CONCAT(Table13[[#This Row],[Geographic Scope]],": ",Table13[[#This Row],[Content Type]])</f>
        <v>Local: Investigative</v>
      </c>
      <c r="I85" s="55">
        <v>424104.16791666672</v>
      </c>
      <c r="J85" s="55">
        <v>355987.7095833334</v>
      </c>
      <c r="K85" s="55">
        <v>90821.944444444438</v>
      </c>
      <c r="L85" s="54">
        <v>199414.17391304349</v>
      </c>
      <c r="M85" s="54">
        <v>43962.375</v>
      </c>
      <c r="N85" s="54">
        <v>134437.44083333336</v>
      </c>
      <c r="O85" s="54">
        <v>36564.803333333337</v>
      </c>
      <c r="P85" s="54">
        <v>22134.329166666666</v>
      </c>
      <c r="Q85" s="54">
        <v>75738.308333333334</v>
      </c>
      <c r="R85" s="54">
        <v>63163.575000000004</v>
      </c>
      <c r="S85" s="54">
        <v>151903.875</v>
      </c>
      <c r="T85" s="54">
        <v>5731.6</v>
      </c>
      <c r="U85" s="54">
        <v>18553.599999999999</v>
      </c>
      <c r="V85" s="54">
        <v>11781.5</v>
      </c>
      <c r="W85" s="54">
        <v>44251.666666666664</v>
      </c>
      <c r="X85" s="54">
        <v>35455</v>
      </c>
      <c r="Y85" s="54">
        <v>263905.73181818181</v>
      </c>
      <c r="Z85" s="54">
        <v>123772.3231818182</v>
      </c>
      <c r="AA85" s="54">
        <v>387678.05500000005</v>
      </c>
      <c r="AB85" s="54">
        <v>6.2847826086956529</v>
      </c>
      <c r="AC85" s="54">
        <v>4.6108695652173912</v>
      </c>
      <c r="AD85" s="54">
        <v>2.0263157894736841</v>
      </c>
      <c r="AE85" s="54">
        <v>603376.88636363635</v>
      </c>
      <c r="AF85" s="54">
        <v>550974.69818181824</v>
      </c>
      <c r="AG85" s="54">
        <v>67814.596470588236</v>
      </c>
      <c r="AH85" s="54">
        <v>401868.64399999997</v>
      </c>
      <c r="AI85" s="54">
        <v>100862.508</v>
      </c>
      <c r="AJ85" s="54">
        <v>157759.90190476191</v>
      </c>
      <c r="AK85" s="54">
        <v>35004.997272727269</v>
      </c>
      <c r="AL85" s="54">
        <v>24071.454545454544</v>
      </c>
      <c r="AM85" s="54">
        <v>91512.545454545456</v>
      </c>
      <c r="AN85" s="54">
        <v>44466.666666666664</v>
      </c>
      <c r="AO85" s="54">
        <v>15814.779999999999</v>
      </c>
      <c r="AP85" s="54">
        <v>35120.166666666664</v>
      </c>
      <c r="AQ85" s="54">
        <v>22715</v>
      </c>
      <c r="AR85" s="54">
        <v>212379</v>
      </c>
      <c r="AS85" s="54">
        <v>41965</v>
      </c>
      <c r="AT85" s="54">
        <v>56979.208571428571</v>
      </c>
      <c r="AU85" s="54">
        <v>280046.55809523811</v>
      </c>
      <c r="AV85" s="54">
        <v>195255.61380952378</v>
      </c>
      <c r="AW85" s="54">
        <v>475302.17190476198</v>
      </c>
      <c r="AX85" s="54">
        <v>6.1977272727272741</v>
      </c>
      <c r="AY85" s="54">
        <v>4.7613636363636367</v>
      </c>
      <c r="AZ85" s="54">
        <v>2.1066666666666669</v>
      </c>
      <c r="BA85" s="54" t="s">
        <v>343</v>
      </c>
      <c r="BB85" s="54" t="s">
        <v>363</v>
      </c>
    </row>
    <row r="86" spans="1:54" x14ac:dyDescent="0.25">
      <c r="A86" s="54">
        <v>387</v>
      </c>
      <c r="B86" s="54">
        <v>2015</v>
      </c>
      <c r="C86" s="88" t="s">
        <v>81</v>
      </c>
      <c r="D86" s="54" t="s">
        <v>7</v>
      </c>
      <c r="E86" s="54" t="s">
        <v>78</v>
      </c>
      <c r="F86" s="54" t="str">
        <f>_xlfn.CONCAT(Table13[[#This Row],[Geographic Scope]],": ",Table13[[#This Row],[Sub-Type/Focus]])</f>
        <v>Local: Multiple Related Topics</v>
      </c>
      <c r="G86" s="54" t="str">
        <f>_xlfn.CONCAT(Table13[[#This Row],[Geographic Scope]],": ",Table13[[#This Row],[Sub-Type/Focus]],": ",Table13[[#This Row],[Content Type]])</f>
        <v>Local: Multiple Related Topics: Investigative</v>
      </c>
      <c r="H86" s="54" t="str">
        <f>_xlfn.CONCAT(Table13[[#This Row],[Geographic Scope]],": ",Table13[[#This Row],[Content Type]])</f>
        <v>Local: Investigative</v>
      </c>
      <c r="I86" s="55">
        <v>424104.16791666672</v>
      </c>
      <c r="J86" s="55">
        <v>355987.7095833334</v>
      </c>
      <c r="K86" s="55">
        <v>90821.944444444438</v>
      </c>
      <c r="L86" s="54">
        <v>199414.17391304349</v>
      </c>
      <c r="M86" s="54">
        <v>43962.375</v>
      </c>
      <c r="N86" s="54">
        <v>134437.44083333336</v>
      </c>
      <c r="O86" s="54">
        <v>36564.803333333337</v>
      </c>
      <c r="P86" s="54">
        <v>22134.329166666666</v>
      </c>
      <c r="Q86" s="54">
        <v>75738.308333333334</v>
      </c>
      <c r="R86" s="54">
        <v>63163.575000000004</v>
      </c>
      <c r="S86" s="54">
        <v>151903.875</v>
      </c>
      <c r="T86" s="54">
        <v>5731.6</v>
      </c>
      <c r="U86" s="54">
        <v>18553.599999999999</v>
      </c>
      <c r="V86" s="54">
        <v>11781.5</v>
      </c>
      <c r="W86" s="54">
        <v>44251.666666666664</v>
      </c>
      <c r="X86" s="54">
        <v>35455</v>
      </c>
      <c r="Y86" s="54">
        <v>263905.73181818181</v>
      </c>
      <c r="Z86" s="54">
        <v>123772.3231818182</v>
      </c>
      <c r="AA86" s="54">
        <v>387678.05500000005</v>
      </c>
      <c r="AB86" s="54">
        <v>6.2847826086956529</v>
      </c>
      <c r="AC86" s="54">
        <v>4.6108695652173912</v>
      </c>
      <c r="AD86" s="54">
        <v>2.0263157894736841</v>
      </c>
      <c r="AE86" s="54">
        <v>603376.88636363635</v>
      </c>
      <c r="AF86" s="54">
        <v>550974.69818181824</v>
      </c>
      <c r="AG86" s="54">
        <v>67814.596470588236</v>
      </c>
      <c r="AH86" s="54">
        <v>401868.64399999997</v>
      </c>
      <c r="AI86" s="54">
        <v>100862.508</v>
      </c>
      <c r="AJ86" s="54">
        <v>157759.90190476191</v>
      </c>
      <c r="AK86" s="54">
        <v>35004.997272727269</v>
      </c>
      <c r="AL86" s="54">
        <v>24071.454545454544</v>
      </c>
      <c r="AM86" s="54">
        <v>91512.545454545456</v>
      </c>
      <c r="AN86" s="54">
        <v>44466.666666666664</v>
      </c>
      <c r="AO86" s="54">
        <v>15814.779999999999</v>
      </c>
      <c r="AP86" s="54">
        <v>35120.166666666664</v>
      </c>
      <c r="AQ86" s="54">
        <v>22715</v>
      </c>
      <c r="AR86" s="54">
        <v>212379</v>
      </c>
      <c r="AS86" s="54">
        <v>41965</v>
      </c>
      <c r="AT86" s="54">
        <v>56979.208571428571</v>
      </c>
      <c r="AU86" s="54">
        <v>280046.55809523811</v>
      </c>
      <c r="AV86" s="54">
        <v>195255.61380952378</v>
      </c>
      <c r="AW86" s="54">
        <v>475302.17190476198</v>
      </c>
      <c r="AX86" s="54">
        <v>6.1977272727272741</v>
      </c>
      <c r="AY86" s="54">
        <v>4.7613636363636367</v>
      </c>
      <c r="AZ86" s="54">
        <v>2.1066666666666669</v>
      </c>
      <c r="BA86" s="54" t="s">
        <v>342</v>
      </c>
    </row>
    <row r="87" spans="1:54" x14ac:dyDescent="0.25">
      <c r="A87" s="54">
        <v>393</v>
      </c>
      <c r="B87" s="54">
        <v>2012</v>
      </c>
      <c r="C87" s="88" t="s">
        <v>81</v>
      </c>
      <c r="D87" s="54" t="s">
        <v>7</v>
      </c>
      <c r="E87" s="54" t="s">
        <v>78</v>
      </c>
      <c r="F87" s="54" t="str">
        <f>_xlfn.CONCAT(Table13[[#This Row],[Geographic Scope]],": ",Table13[[#This Row],[Sub-Type/Focus]])</f>
        <v>Local: Multiple Related Topics</v>
      </c>
      <c r="G87" s="54" t="str">
        <f>_xlfn.CONCAT(Table13[[#This Row],[Geographic Scope]],": ",Table13[[#This Row],[Sub-Type/Focus]],": ",Table13[[#This Row],[Content Type]])</f>
        <v>Local: Multiple Related Topics: Investigative</v>
      </c>
      <c r="H87" s="54" t="str">
        <f>_xlfn.CONCAT(Table13[[#This Row],[Geographic Scope]],": ",Table13[[#This Row],[Content Type]])</f>
        <v>Local: Investigative</v>
      </c>
      <c r="I87" s="55">
        <v>424104.16791666672</v>
      </c>
      <c r="J87" s="55">
        <v>355987.7095833334</v>
      </c>
      <c r="K87" s="55">
        <v>90821.944444444438</v>
      </c>
      <c r="L87" s="54">
        <v>199414.17391304349</v>
      </c>
      <c r="M87" s="54">
        <v>43962.375</v>
      </c>
      <c r="N87" s="54">
        <v>134437.44083333336</v>
      </c>
      <c r="O87" s="54">
        <v>36564.803333333337</v>
      </c>
      <c r="P87" s="54">
        <v>22134.329166666666</v>
      </c>
      <c r="Q87" s="54">
        <v>75738.308333333334</v>
      </c>
      <c r="R87" s="54">
        <v>63163.575000000004</v>
      </c>
      <c r="S87" s="54">
        <v>151903.875</v>
      </c>
      <c r="T87" s="54">
        <v>5731.6</v>
      </c>
      <c r="U87" s="54">
        <v>18553.599999999999</v>
      </c>
      <c r="V87" s="54">
        <v>11781.5</v>
      </c>
      <c r="W87" s="54">
        <v>44251.666666666664</v>
      </c>
      <c r="X87" s="54">
        <v>35455</v>
      </c>
      <c r="Y87" s="54">
        <v>263905.73181818181</v>
      </c>
      <c r="Z87" s="54">
        <v>123772.3231818182</v>
      </c>
      <c r="AA87" s="54">
        <v>387678.05500000005</v>
      </c>
      <c r="AB87" s="54">
        <v>6.2847826086956529</v>
      </c>
      <c r="AC87" s="54">
        <v>4.6108695652173912</v>
      </c>
      <c r="AD87" s="54">
        <v>2.0263157894736841</v>
      </c>
      <c r="AE87" s="54">
        <v>603376.88636363635</v>
      </c>
      <c r="AF87" s="54">
        <v>550974.69818181824</v>
      </c>
      <c r="AG87" s="54">
        <v>67814.596470588236</v>
      </c>
      <c r="AH87" s="54">
        <v>401868.64399999997</v>
      </c>
      <c r="AI87" s="54">
        <v>100862.508</v>
      </c>
      <c r="AJ87" s="54">
        <v>157759.90190476191</v>
      </c>
      <c r="AK87" s="54">
        <v>35004.997272727269</v>
      </c>
      <c r="AL87" s="54">
        <v>24071.454545454544</v>
      </c>
      <c r="AM87" s="54">
        <v>91512.545454545456</v>
      </c>
      <c r="AN87" s="54">
        <v>44466.666666666664</v>
      </c>
      <c r="AO87" s="54">
        <v>15814.779999999999</v>
      </c>
      <c r="AP87" s="54">
        <v>35120.166666666664</v>
      </c>
      <c r="AQ87" s="54">
        <v>22715</v>
      </c>
      <c r="AR87" s="54">
        <v>212379</v>
      </c>
      <c r="AS87" s="54">
        <v>41965</v>
      </c>
      <c r="AT87" s="54">
        <v>56979.208571428571</v>
      </c>
      <c r="AU87" s="54">
        <v>280046.55809523811</v>
      </c>
      <c r="AV87" s="54">
        <v>195255.61380952378</v>
      </c>
      <c r="AW87" s="54">
        <v>475302.17190476198</v>
      </c>
      <c r="AX87" s="54">
        <v>6.1977272727272741</v>
      </c>
      <c r="AY87" s="54">
        <v>4.7613636363636367</v>
      </c>
      <c r="AZ87" s="54">
        <v>2.1066666666666669</v>
      </c>
      <c r="BA87" s="54" t="s">
        <v>343</v>
      </c>
      <c r="BB87" s="54" t="s">
        <v>364</v>
      </c>
    </row>
    <row r="88" spans="1:54" x14ac:dyDescent="0.25">
      <c r="A88" s="54">
        <v>409</v>
      </c>
      <c r="B88" s="54">
        <v>2010</v>
      </c>
      <c r="C88" s="88" t="s">
        <v>81</v>
      </c>
      <c r="D88" s="54" t="s">
        <v>7</v>
      </c>
      <c r="E88" s="54" t="s">
        <v>78</v>
      </c>
      <c r="F88" s="54" t="str">
        <f>_xlfn.CONCAT(Table13[[#This Row],[Geographic Scope]],": ",Table13[[#This Row],[Sub-Type/Focus]])</f>
        <v>Local: Multiple Related Topics</v>
      </c>
      <c r="G88" s="54" t="str">
        <f>_xlfn.CONCAT(Table13[[#This Row],[Geographic Scope]],": ",Table13[[#This Row],[Sub-Type/Focus]],": ",Table13[[#This Row],[Content Type]])</f>
        <v>Local: Multiple Related Topics: Investigative</v>
      </c>
      <c r="H88" s="54" t="str">
        <f>_xlfn.CONCAT(Table13[[#This Row],[Geographic Scope]],": ",Table13[[#This Row],[Content Type]])</f>
        <v>Local: Investigative</v>
      </c>
      <c r="I88" s="55">
        <v>424104.16791666672</v>
      </c>
      <c r="J88" s="55">
        <v>355987.7095833334</v>
      </c>
      <c r="K88" s="55">
        <v>90821.944444444438</v>
      </c>
      <c r="L88" s="54">
        <v>199414.17391304349</v>
      </c>
      <c r="M88" s="54">
        <v>43962.375</v>
      </c>
      <c r="N88" s="54">
        <v>134437.44083333336</v>
      </c>
      <c r="O88" s="54">
        <v>36564.803333333337</v>
      </c>
      <c r="P88" s="54">
        <v>22134.329166666666</v>
      </c>
      <c r="Q88" s="54">
        <v>75738.308333333334</v>
      </c>
      <c r="R88" s="54">
        <v>63163.575000000004</v>
      </c>
      <c r="S88" s="54">
        <v>151903.875</v>
      </c>
      <c r="T88" s="54">
        <v>5731.6</v>
      </c>
      <c r="U88" s="54">
        <v>18553.599999999999</v>
      </c>
      <c r="V88" s="54">
        <v>11781.5</v>
      </c>
      <c r="W88" s="54">
        <v>44251.666666666664</v>
      </c>
      <c r="X88" s="54">
        <v>35455</v>
      </c>
      <c r="Y88" s="54">
        <v>263905.73181818181</v>
      </c>
      <c r="Z88" s="54">
        <v>123772.3231818182</v>
      </c>
      <c r="AA88" s="54">
        <v>387678.05500000005</v>
      </c>
      <c r="AB88" s="54">
        <v>6.2847826086956529</v>
      </c>
      <c r="AC88" s="54">
        <v>4.6108695652173912</v>
      </c>
      <c r="AD88" s="54">
        <v>2.0263157894736841</v>
      </c>
      <c r="AE88" s="54">
        <v>603376.88636363635</v>
      </c>
      <c r="AF88" s="54">
        <v>550974.69818181824</v>
      </c>
      <c r="AG88" s="54">
        <v>67814.596470588236</v>
      </c>
      <c r="AH88" s="54">
        <v>401868.64399999997</v>
      </c>
      <c r="AI88" s="54">
        <v>100862.508</v>
      </c>
      <c r="AJ88" s="54">
        <v>157759.90190476191</v>
      </c>
      <c r="AK88" s="54">
        <v>35004.997272727269</v>
      </c>
      <c r="AL88" s="54">
        <v>24071.454545454544</v>
      </c>
      <c r="AM88" s="54">
        <v>91512.545454545456</v>
      </c>
      <c r="AN88" s="54">
        <v>44466.666666666664</v>
      </c>
      <c r="AO88" s="54">
        <v>15814.779999999999</v>
      </c>
      <c r="AP88" s="54">
        <v>35120.166666666664</v>
      </c>
      <c r="AQ88" s="54">
        <v>22715</v>
      </c>
      <c r="AR88" s="54">
        <v>212379</v>
      </c>
      <c r="AS88" s="54">
        <v>41965</v>
      </c>
      <c r="AT88" s="54">
        <v>56979.208571428571</v>
      </c>
      <c r="AU88" s="54">
        <v>280046.55809523811</v>
      </c>
      <c r="AV88" s="54">
        <v>195255.61380952378</v>
      </c>
      <c r="AW88" s="54">
        <v>475302.17190476198</v>
      </c>
      <c r="AX88" s="54">
        <v>6.1977272727272741</v>
      </c>
      <c r="AY88" s="54">
        <v>4.7613636363636367</v>
      </c>
      <c r="AZ88" s="54">
        <v>2.1066666666666669</v>
      </c>
      <c r="BA88" s="54" t="s">
        <v>342</v>
      </c>
    </row>
    <row r="89" spans="1:54" x14ac:dyDescent="0.25">
      <c r="A89" s="54">
        <v>453</v>
      </c>
      <c r="B89" s="54">
        <v>2019</v>
      </c>
      <c r="C89" s="88" t="s">
        <v>81</v>
      </c>
      <c r="D89" s="54" t="s">
        <v>7</v>
      </c>
      <c r="E89" s="54" t="s">
        <v>78</v>
      </c>
      <c r="F89" s="54" t="str">
        <f>_xlfn.CONCAT(Table13[[#This Row],[Geographic Scope]],": ",Table13[[#This Row],[Sub-Type/Focus]])</f>
        <v>Local: Multiple Related Topics</v>
      </c>
      <c r="G89" s="54" t="str">
        <f>_xlfn.CONCAT(Table13[[#This Row],[Geographic Scope]],": ",Table13[[#This Row],[Sub-Type/Focus]],": ",Table13[[#This Row],[Content Type]])</f>
        <v>Local: Multiple Related Topics: Investigative</v>
      </c>
      <c r="H89" s="54" t="str">
        <f>_xlfn.CONCAT(Table13[[#This Row],[Geographic Scope]],": ",Table13[[#This Row],[Content Type]])</f>
        <v>Local: Investigative</v>
      </c>
      <c r="I89" s="55">
        <v>424104.16791666672</v>
      </c>
      <c r="J89" s="55">
        <v>355987.7095833334</v>
      </c>
      <c r="K89" s="55">
        <v>90821.944444444438</v>
      </c>
      <c r="L89" s="54">
        <v>199414.17391304349</v>
      </c>
      <c r="M89" s="54">
        <v>43962.375</v>
      </c>
      <c r="N89" s="54">
        <v>134437.44083333336</v>
      </c>
      <c r="O89" s="54">
        <v>36564.803333333337</v>
      </c>
      <c r="P89" s="54">
        <v>22134.329166666666</v>
      </c>
      <c r="Q89" s="54">
        <v>75738.308333333334</v>
      </c>
      <c r="R89" s="54">
        <v>63163.575000000004</v>
      </c>
      <c r="S89" s="54">
        <v>151903.875</v>
      </c>
      <c r="T89" s="54">
        <v>5731.6</v>
      </c>
      <c r="U89" s="54">
        <v>18553.599999999999</v>
      </c>
      <c r="V89" s="54">
        <v>11781.5</v>
      </c>
      <c r="W89" s="54">
        <v>44251.666666666664</v>
      </c>
      <c r="X89" s="54">
        <v>35455</v>
      </c>
      <c r="Y89" s="54">
        <v>263905.73181818181</v>
      </c>
      <c r="Z89" s="54">
        <v>123772.3231818182</v>
      </c>
      <c r="AA89" s="54">
        <v>387678.05500000005</v>
      </c>
      <c r="AB89" s="54">
        <v>6.2847826086956529</v>
      </c>
      <c r="AC89" s="54">
        <v>4.6108695652173912</v>
      </c>
      <c r="AD89" s="54">
        <v>2.0263157894736841</v>
      </c>
      <c r="AE89" s="54">
        <v>603376.88636363635</v>
      </c>
      <c r="AF89" s="54">
        <v>550974.69818181824</v>
      </c>
      <c r="AG89" s="54">
        <v>67814.596470588236</v>
      </c>
      <c r="AH89" s="54">
        <v>401868.64399999997</v>
      </c>
      <c r="AI89" s="54">
        <v>100862.508</v>
      </c>
      <c r="AJ89" s="54">
        <v>157759.90190476191</v>
      </c>
      <c r="AK89" s="54">
        <v>35004.997272727269</v>
      </c>
      <c r="AL89" s="54">
        <v>24071.454545454544</v>
      </c>
      <c r="AM89" s="54">
        <v>91512.545454545456</v>
      </c>
      <c r="AN89" s="54">
        <v>44466.666666666664</v>
      </c>
      <c r="AO89" s="54">
        <v>15814.779999999999</v>
      </c>
      <c r="AP89" s="54">
        <v>35120.166666666664</v>
      </c>
      <c r="AQ89" s="54">
        <v>22715</v>
      </c>
      <c r="AR89" s="54">
        <v>212379</v>
      </c>
      <c r="AS89" s="54">
        <v>41965</v>
      </c>
      <c r="AT89" s="54">
        <v>56979.208571428571</v>
      </c>
      <c r="AU89" s="54">
        <v>280046.55809523811</v>
      </c>
      <c r="AV89" s="54">
        <v>195255.61380952378</v>
      </c>
      <c r="AW89" s="54">
        <v>475302.17190476198</v>
      </c>
      <c r="AX89" s="54">
        <v>6.1977272727272741</v>
      </c>
      <c r="AY89" s="54">
        <v>4.7613636363636367</v>
      </c>
      <c r="AZ89" s="54">
        <v>2.1066666666666669</v>
      </c>
      <c r="BA89" s="54" t="s">
        <v>342</v>
      </c>
    </row>
    <row r="90" spans="1:54" x14ac:dyDescent="0.25">
      <c r="A90" s="54">
        <v>504</v>
      </c>
      <c r="B90" s="54">
        <v>2017</v>
      </c>
      <c r="C90" s="88" t="s">
        <v>81</v>
      </c>
      <c r="D90" s="54" t="s">
        <v>7</v>
      </c>
      <c r="E90" s="54" t="s">
        <v>78</v>
      </c>
      <c r="F90" s="54" t="str">
        <f>_xlfn.CONCAT(Table13[[#This Row],[Geographic Scope]],": ",Table13[[#This Row],[Sub-Type/Focus]])</f>
        <v>Local: Multiple Related Topics</v>
      </c>
      <c r="G90" s="54" t="str">
        <f>_xlfn.CONCAT(Table13[[#This Row],[Geographic Scope]],": ",Table13[[#This Row],[Sub-Type/Focus]],": ",Table13[[#This Row],[Content Type]])</f>
        <v>Local: Multiple Related Topics: Investigative</v>
      </c>
      <c r="H90" s="54" t="str">
        <f>_xlfn.CONCAT(Table13[[#This Row],[Geographic Scope]],": ",Table13[[#This Row],[Content Type]])</f>
        <v>Local: Investigative</v>
      </c>
      <c r="I90" s="55">
        <v>424104.16791666672</v>
      </c>
      <c r="J90" s="55">
        <v>355987.7095833334</v>
      </c>
      <c r="K90" s="55">
        <v>90821.944444444438</v>
      </c>
      <c r="L90" s="54">
        <v>199414.17391304349</v>
      </c>
      <c r="M90" s="54">
        <v>43962.375</v>
      </c>
      <c r="N90" s="54">
        <v>134437.44083333336</v>
      </c>
      <c r="O90" s="54">
        <v>36564.803333333337</v>
      </c>
      <c r="P90" s="54">
        <v>22134.329166666666</v>
      </c>
      <c r="Q90" s="54">
        <v>75738.308333333334</v>
      </c>
      <c r="R90" s="54">
        <v>63163.575000000004</v>
      </c>
      <c r="S90" s="54">
        <v>151903.875</v>
      </c>
      <c r="T90" s="54">
        <v>5731.6</v>
      </c>
      <c r="U90" s="54">
        <v>18553.599999999999</v>
      </c>
      <c r="V90" s="54">
        <v>11781.5</v>
      </c>
      <c r="W90" s="54">
        <v>44251.666666666664</v>
      </c>
      <c r="X90" s="54">
        <v>35455</v>
      </c>
      <c r="Y90" s="54">
        <v>263905.73181818181</v>
      </c>
      <c r="Z90" s="54">
        <v>123772.3231818182</v>
      </c>
      <c r="AA90" s="54">
        <v>387678.05500000005</v>
      </c>
      <c r="AB90" s="54">
        <v>6.2847826086956529</v>
      </c>
      <c r="AC90" s="54">
        <v>4.6108695652173912</v>
      </c>
      <c r="AD90" s="54">
        <v>2.0263157894736841</v>
      </c>
      <c r="AE90" s="54">
        <v>603376.88636363635</v>
      </c>
      <c r="AF90" s="54">
        <v>550974.69818181824</v>
      </c>
      <c r="AG90" s="54">
        <v>67814.596470588236</v>
      </c>
      <c r="AH90" s="54">
        <v>401868.64399999997</v>
      </c>
      <c r="AI90" s="54">
        <v>100862.508</v>
      </c>
      <c r="AJ90" s="54">
        <v>157759.90190476191</v>
      </c>
      <c r="AK90" s="54">
        <v>35004.997272727269</v>
      </c>
      <c r="AL90" s="54">
        <v>24071.454545454544</v>
      </c>
      <c r="AM90" s="54">
        <v>91512.545454545456</v>
      </c>
      <c r="AN90" s="54">
        <v>44466.666666666664</v>
      </c>
      <c r="AO90" s="54">
        <v>15814.779999999999</v>
      </c>
      <c r="AP90" s="54">
        <v>35120.166666666664</v>
      </c>
      <c r="AQ90" s="54">
        <v>22715</v>
      </c>
      <c r="AR90" s="54">
        <v>212379</v>
      </c>
      <c r="AS90" s="54">
        <v>41965</v>
      </c>
      <c r="AT90" s="54">
        <v>56979.208571428571</v>
      </c>
      <c r="AU90" s="54">
        <v>280046.55809523811</v>
      </c>
      <c r="AV90" s="54">
        <v>195255.61380952378</v>
      </c>
      <c r="AW90" s="54">
        <v>475302.17190476198</v>
      </c>
      <c r="AX90" s="54">
        <v>6.1977272727272741</v>
      </c>
      <c r="AY90" s="54">
        <v>4.7613636363636367</v>
      </c>
      <c r="AZ90" s="54">
        <v>2.1066666666666669</v>
      </c>
      <c r="BA90" s="54" t="s">
        <v>342</v>
      </c>
      <c r="BB90" s="54" t="s">
        <v>347</v>
      </c>
    </row>
    <row r="91" spans="1:54" x14ac:dyDescent="0.25">
      <c r="A91" s="54">
        <v>512</v>
      </c>
      <c r="B91" s="54">
        <v>2007</v>
      </c>
      <c r="C91" s="88" t="s">
        <v>81</v>
      </c>
      <c r="D91" s="54" t="s">
        <v>7</v>
      </c>
      <c r="E91" s="54" t="s">
        <v>78</v>
      </c>
      <c r="F91" s="54" t="str">
        <f>_xlfn.CONCAT(Table13[[#This Row],[Geographic Scope]],": ",Table13[[#This Row],[Sub-Type/Focus]])</f>
        <v>Local: Multiple Related Topics</v>
      </c>
      <c r="G91" s="54" t="str">
        <f>_xlfn.CONCAT(Table13[[#This Row],[Geographic Scope]],": ",Table13[[#This Row],[Sub-Type/Focus]],": ",Table13[[#This Row],[Content Type]])</f>
        <v>Local: Multiple Related Topics: Investigative</v>
      </c>
      <c r="H91" s="54" t="str">
        <f>_xlfn.CONCAT(Table13[[#This Row],[Geographic Scope]],": ",Table13[[#This Row],[Content Type]])</f>
        <v>Local: Investigative</v>
      </c>
      <c r="I91" s="55">
        <v>424104.16791666672</v>
      </c>
      <c r="J91" s="55">
        <v>355987.7095833334</v>
      </c>
      <c r="K91" s="55">
        <v>90821.944444444438</v>
      </c>
      <c r="L91" s="54">
        <v>199414.17391304349</v>
      </c>
      <c r="M91" s="54">
        <v>43962.375</v>
      </c>
      <c r="N91" s="54">
        <v>134437.44083333336</v>
      </c>
      <c r="O91" s="54">
        <v>36564.803333333337</v>
      </c>
      <c r="P91" s="54">
        <v>22134.329166666666</v>
      </c>
      <c r="Q91" s="54">
        <v>75738.308333333334</v>
      </c>
      <c r="R91" s="54">
        <v>63163.575000000004</v>
      </c>
      <c r="S91" s="54">
        <v>151903.875</v>
      </c>
      <c r="T91" s="54">
        <v>5731.6</v>
      </c>
      <c r="U91" s="54">
        <v>18553.599999999999</v>
      </c>
      <c r="V91" s="54">
        <v>11781.5</v>
      </c>
      <c r="W91" s="54">
        <v>44251.666666666664</v>
      </c>
      <c r="X91" s="54">
        <v>35455</v>
      </c>
      <c r="Y91" s="54">
        <v>263905.73181818181</v>
      </c>
      <c r="Z91" s="54">
        <v>123772.3231818182</v>
      </c>
      <c r="AA91" s="54">
        <v>387678.05500000005</v>
      </c>
      <c r="AB91" s="54">
        <v>6.2847826086956529</v>
      </c>
      <c r="AC91" s="54">
        <v>4.6108695652173912</v>
      </c>
      <c r="AD91" s="54">
        <v>2.0263157894736841</v>
      </c>
      <c r="AE91" s="54">
        <v>603376.88636363635</v>
      </c>
      <c r="AF91" s="54">
        <v>550974.69818181824</v>
      </c>
      <c r="AG91" s="54">
        <v>67814.596470588236</v>
      </c>
      <c r="AH91" s="54">
        <v>401868.64399999997</v>
      </c>
      <c r="AI91" s="54">
        <v>100862.508</v>
      </c>
      <c r="AJ91" s="54">
        <v>157759.90190476191</v>
      </c>
      <c r="AK91" s="54">
        <v>35004.997272727269</v>
      </c>
      <c r="AL91" s="54">
        <v>24071.454545454544</v>
      </c>
      <c r="AM91" s="54">
        <v>91512.545454545456</v>
      </c>
      <c r="AN91" s="54">
        <v>44466.666666666664</v>
      </c>
      <c r="AO91" s="54">
        <v>15814.779999999999</v>
      </c>
      <c r="AP91" s="54">
        <v>35120.166666666664</v>
      </c>
      <c r="AQ91" s="54">
        <v>22715</v>
      </c>
      <c r="AR91" s="54">
        <v>212379</v>
      </c>
      <c r="AS91" s="54">
        <v>41965</v>
      </c>
      <c r="AT91" s="54">
        <v>56979.208571428571</v>
      </c>
      <c r="AU91" s="54">
        <v>280046.55809523811</v>
      </c>
      <c r="AV91" s="54">
        <v>195255.61380952378</v>
      </c>
      <c r="AW91" s="54">
        <v>475302.17190476198</v>
      </c>
      <c r="AX91" s="54">
        <v>6.1977272727272741</v>
      </c>
      <c r="AY91" s="54">
        <v>4.7613636363636367</v>
      </c>
      <c r="AZ91" s="54">
        <v>2.1066666666666669</v>
      </c>
      <c r="BA91" s="54" t="s">
        <v>342</v>
      </c>
      <c r="BB91" s="54" t="s">
        <v>346</v>
      </c>
    </row>
    <row r="92" spans="1:54" x14ac:dyDescent="0.25">
      <c r="A92" s="54">
        <v>6824</v>
      </c>
      <c r="B92" s="54">
        <v>2018</v>
      </c>
      <c r="C92" s="88" t="s">
        <v>81</v>
      </c>
      <c r="D92" s="54" t="s">
        <v>7</v>
      </c>
      <c r="E92" s="54" t="s">
        <v>78</v>
      </c>
      <c r="F92" s="54" t="str">
        <f>_xlfn.CONCAT(Table13[[#This Row],[Geographic Scope]],": ",Table13[[#This Row],[Sub-Type/Focus]])</f>
        <v>Local: Multiple Related Topics</v>
      </c>
      <c r="G92" s="54" t="str">
        <f>_xlfn.CONCAT(Table13[[#This Row],[Geographic Scope]],": ",Table13[[#This Row],[Sub-Type/Focus]],": ",Table13[[#This Row],[Content Type]])</f>
        <v>Local: Multiple Related Topics: Investigative</v>
      </c>
      <c r="H92" s="54" t="str">
        <f>_xlfn.CONCAT(Table13[[#This Row],[Geographic Scope]],": ",Table13[[#This Row],[Content Type]])</f>
        <v>Local: Investigative</v>
      </c>
      <c r="I92" s="55">
        <v>424104.16791666672</v>
      </c>
      <c r="J92" s="55">
        <v>355987.7095833334</v>
      </c>
      <c r="K92" s="55">
        <v>90821.944444444438</v>
      </c>
      <c r="L92" s="54">
        <v>199414.17391304349</v>
      </c>
      <c r="M92" s="54">
        <v>43962.375</v>
      </c>
      <c r="N92" s="54">
        <v>134437.44083333336</v>
      </c>
      <c r="O92" s="54">
        <v>36564.803333333337</v>
      </c>
      <c r="P92" s="54">
        <v>22134.329166666666</v>
      </c>
      <c r="Q92" s="54">
        <v>75738.308333333334</v>
      </c>
      <c r="R92" s="54">
        <v>63163.575000000004</v>
      </c>
      <c r="S92" s="54">
        <v>151903.875</v>
      </c>
      <c r="T92" s="54">
        <v>5731.6</v>
      </c>
      <c r="U92" s="54">
        <v>18553.599999999999</v>
      </c>
      <c r="V92" s="54">
        <v>11781.5</v>
      </c>
      <c r="W92" s="54">
        <v>44251.666666666664</v>
      </c>
      <c r="X92" s="54">
        <v>35455</v>
      </c>
      <c r="Y92" s="54">
        <v>263905.73181818181</v>
      </c>
      <c r="Z92" s="54">
        <v>123772.3231818182</v>
      </c>
      <c r="AA92" s="54">
        <v>387678.05500000005</v>
      </c>
      <c r="AB92" s="54">
        <v>6.2847826086956529</v>
      </c>
      <c r="AC92" s="54">
        <v>4.6108695652173912</v>
      </c>
      <c r="AD92" s="54">
        <v>2.0263157894736841</v>
      </c>
      <c r="AE92" s="54">
        <v>603376.88636363635</v>
      </c>
      <c r="AF92" s="54">
        <v>550974.69818181824</v>
      </c>
      <c r="AG92" s="54">
        <v>67814.596470588236</v>
      </c>
      <c r="AH92" s="54">
        <v>401868.64399999997</v>
      </c>
      <c r="AI92" s="54">
        <v>100862.508</v>
      </c>
      <c r="AJ92" s="54">
        <v>157759.90190476191</v>
      </c>
      <c r="AK92" s="54">
        <v>35004.997272727269</v>
      </c>
      <c r="AL92" s="54">
        <v>24071.454545454544</v>
      </c>
      <c r="AM92" s="54">
        <v>91512.545454545456</v>
      </c>
      <c r="AN92" s="54">
        <v>44466.666666666664</v>
      </c>
      <c r="AO92" s="54">
        <v>15814.779999999999</v>
      </c>
      <c r="AP92" s="54">
        <v>35120.166666666664</v>
      </c>
      <c r="AQ92" s="54">
        <v>22715</v>
      </c>
      <c r="AR92" s="54">
        <v>212379</v>
      </c>
      <c r="AS92" s="54">
        <v>41965</v>
      </c>
      <c r="AT92" s="54">
        <v>56979.208571428571</v>
      </c>
      <c r="AU92" s="54">
        <v>280046.55809523811</v>
      </c>
      <c r="AV92" s="54">
        <v>195255.61380952378</v>
      </c>
      <c r="AW92" s="54">
        <v>475302.17190476198</v>
      </c>
      <c r="AX92" s="54">
        <v>6.1977272727272741</v>
      </c>
      <c r="AY92" s="54">
        <v>4.7613636363636367</v>
      </c>
      <c r="AZ92" s="54">
        <v>2.1066666666666669</v>
      </c>
      <c r="BA92" s="54" t="s">
        <v>342</v>
      </c>
      <c r="BB92" s="54" t="s">
        <v>342</v>
      </c>
    </row>
    <row r="93" spans="1:54" x14ac:dyDescent="0.25">
      <c r="A93" s="54">
        <v>3040</v>
      </c>
      <c r="B93" s="54">
        <v>2020</v>
      </c>
      <c r="C93" s="88" t="s">
        <v>81</v>
      </c>
      <c r="D93" s="54" t="s">
        <v>7</v>
      </c>
      <c r="E93" s="54" t="s">
        <v>79</v>
      </c>
      <c r="F93" s="54" t="str">
        <f>_xlfn.CONCAT(Table13[[#This Row],[Geographic Scope]],": ",Table13[[#This Row],[Sub-Type/Focus]])</f>
        <v>Local: Single-Topic</v>
      </c>
      <c r="G93" s="54" t="str">
        <f>_xlfn.CONCAT(Table13[[#This Row],[Geographic Scope]],": ",Table13[[#This Row],[Sub-Type/Focus]],": ",Table13[[#This Row],[Content Type]])</f>
        <v>Local: Single-Topic: Investigative</v>
      </c>
      <c r="H93" s="54" t="str">
        <f>_xlfn.CONCAT(Table13[[#This Row],[Geographic Scope]],": ",Table13[[#This Row],[Content Type]])</f>
        <v>Local: Investigative</v>
      </c>
      <c r="I93" s="55">
        <v>424104.16791666672</v>
      </c>
      <c r="J93" s="55">
        <v>355987.7095833334</v>
      </c>
      <c r="K93" s="55">
        <v>90821.944444444438</v>
      </c>
      <c r="L93" s="54">
        <v>199414.17391304349</v>
      </c>
      <c r="M93" s="54">
        <v>43962.375</v>
      </c>
      <c r="N93" s="54">
        <v>134437.44083333336</v>
      </c>
      <c r="O93" s="54">
        <v>36564.803333333337</v>
      </c>
      <c r="P93" s="54">
        <v>22134.329166666666</v>
      </c>
      <c r="Q93" s="54">
        <v>75738.308333333334</v>
      </c>
      <c r="R93" s="54">
        <v>63163.575000000004</v>
      </c>
      <c r="S93" s="54">
        <v>151903.875</v>
      </c>
      <c r="T93" s="54">
        <v>5731.6</v>
      </c>
      <c r="U93" s="54">
        <v>18553.599999999999</v>
      </c>
      <c r="V93" s="54">
        <v>11781.5</v>
      </c>
      <c r="W93" s="54">
        <v>44251.666666666664</v>
      </c>
      <c r="X93" s="54">
        <v>35455</v>
      </c>
      <c r="Y93" s="54">
        <v>263905.73181818181</v>
      </c>
      <c r="Z93" s="54">
        <v>123772.3231818182</v>
      </c>
      <c r="AA93" s="54">
        <v>387678.05500000005</v>
      </c>
      <c r="AB93" s="54">
        <v>6.2847826086956529</v>
      </c>
      <c r="AC93" s="54">
        <v>4.6108695652173912</v>
      </c>
      <c r="AD93" s="54">
        <v>2.0263157894736841</v>
      </c>
      <c r="AE93" s="54">
        <v>421700.44500000001</v>
      </c>
      <c r="AF93" s="54">
        <v>338107.56</v>
      </c>
      <c r="AG93" s="54">
        <v>100311.462</v>
      </c>
      <c r="AH93" s="54">
        <v>133183.4</v>
      </c>
      <c r="AI93" s="54">
        <v>7542.8133333333344</v>
      </c>
      <c r="AJ93" s="54">
        <v>193248.38399999999</v>
      </c>
      <c r="AK93" s="54">
        <v>72415.653333333335</v>
      </c>
      <c r="AL93" s="54">
        <v>36011.166666666664</v>
      </c>
      <c r="AM93" s="54">
        <v>52613.5</v>
      </c>
      <c r="AN93" s="54">
        <v>124619.33333333333</v>
      </c>
      <c r="AO93" s="54">
        <v>55087</v>
      </c>
      <c r="AP93" s="54">
        <v>30058</v>
      </c>
      <c r="AQ93" s="54">
        <v>33994.285000000003</v>
      </c>
      <c r="AR93" s="54">
        <v>145925</v>
      </c>
      <c r="AS93" s="54">
        <v>8982.369999999999</v>
      </c>
      <c r="AT93" s="54">
        <v>14767.333333333334</v>
      </c>
      <c r="AU93" s="54">
        <v>195557</v>
      </c>
      <c r="AV93" s="54">
        <v>150156.10833333334</v>
      </c>
      <c r="AW93" s="54">
        <v>345713.10833333334</v>
      </c>
      <c r="AX93" s="54">
        <v>4.3374999999999995</v>
      </c>
      <c r="AY93" s="54">
        <v>2.4166666666666665</v>
      </c>
      <c r="AZ93" s="54">
        <v>5.7625000000000002</v>
      </c>
      <c r="BA93" s="54" t="s">
        <v>339</v>
      </c>
      <c r="BB93" s="54" t="s">
        <v>365</v>
      </c>
    </row>
    <row r="94" spans="1:54" x14ac:dyDescent="0.25">
      <c r="A94" s="54">
        <v>443</v>
      </c>
      <c r="B94" s="54">
        <v>2008</v>
      </c>
      <c r="C94" s="88" t="s">
        <v>82</v>
      </c>
      <c r="D94" s="54" t="s">
        <v>6</v>
      </c>
      <c r="E94" s="54" t="s">
        <v>77</v>
      </c>
      <c r="F94" s="54" t="str">
        <f>_xlfn.CONCAT(Table13[[#This Row],[Geographic Scope]],": ",Table13[[#This Row],[Sub-Type/Focus]])</f>
        <v>National: General</v>
      </c>
      <c r="G94" s="54" t="str">
        <f>_xlfn.CONCAT(Table13[[#This Row],[Geographic Scope]],": ",Table13[[#This Row],[Sub-Type/Focus]],": ",Table13[[#This Row],[Content Type]])</f>
        <v>National: General: Current News &amp; Events</v>
      </c>
      <c r="H94" s="54" t="str">
        <f>_xlfn.CONCAT(Table13[[#This Row],[Geographic Scope]],": ",Table13[[#This Row],[Content Type]])</f>
        <v>National: Current News &amp; Events</v>
      </c>
      <c r="I94" s="55">
        <v>6901629.0662500001</v>
      </c>
      <c r="J94" s="55">
        <v>6475997.1449999996</v>
      </c>
      <c r="K94" s="55">
        <v>425631.92125000001</v>
      </c>
      <c r="L94" s="54">
        <v>3187219.375</v>
      </c>
      <c r="M94" s="54">
        <v>124328.02499999999</v>
      </c>
      <c r="N94" s="54">
        <v>3107170.8887500004</v>
      </c>
      <c r="O94" s="54">
        <v>566432.29625000001</v>
      </c>
      <c r="P94" s="54">
        <v>220152.42499999999</v>
      </c>
      <c r="Q94" s="54">
        <v>2320586.1675000004</v>
      </c>
      <c r="R94" s="54">
        <v>401399.66666666669</v>
      </c>
      <c r="S94" s="54">
        <v>137049.674</v>
      </c>
      <c r="T94" s="54">
        <v>403687.66666666669</v>
      </c>
      <c r="U94" s="54">
        <v>4232.5</v>
      </c>
      <c r="V94" s="54">
        <v>171686.5</v>
      </c>
      <c r="W94" s="54">
        <v>48758</v>
      </c>
      <c r="X94" s="54">
        <v>202126.4</v>
      </c>
      <c r="Y94" s="54">
        <v>4626712.875</v>
      </c>
      <c r="Z94" s="54">
        <v>1513210.125</v>
      </c>
      <c r="AA94" s="54">
        <v>6139923</v>
      </c>
      <c r="AB94" s="54">
        <v>41.081249999999997</v>
      </c>
      <c r="AC94" s="54">
        <v>29.8125</v>
      </c>
      <c r="AD94" s="54">
        <v>11.268750000000001</v>
      </c>
      <c r="AE94" s="54">
        <v>6765755.5837500002</v>
      </c>
      <c r="AF94" s="54">
        <v>6582097.5599999996</v>
      </c>
      <c r="AG94" s="54">
        <v>183658.02374999999</v>
      </c>
      <c r="AH94" s="54">
        <v>2649128.80375</v>
      </c>
      <c r="AI94" s="54">
        <v>1927125.92</v>
      </c>
      <c r="AJ94" s="54">
        <v>3362154.1412500003</v>
      </c>
      <c r="AK94" s="54">
        <v>993287.1050000001</v>
      </c>
      <c r="AL94" s="54">
        <v>230636.78</v>
      </c>
      <c r="AM94" s="54">
        <v>2138230.2562500001</v>
      </c>
      <c r="AN94" s="54">
        <v>527878.19999999995</v>
      </c>
      <c r="AO94" s="54">
        <v>112745.565</v>
      </c>
      <c r="AP94" s="54">
        <v>54250</v>
      </c>
      <c r="AQ94" s="54">
        <v>15504</v>
      </c>
      <c r="AR94" s="54">
        <v>25000</v>
      </c>
      <c r="AS94" s="54">
        <v>131278.33333333334</v>
      </c>
      <c r="AT94" s="54">
        <v>62487.950000000004</v>
      </c>
      <c r="AU94" s="54">
        <v>6396387.25</v>
      </c>
      <c r="AV94" s="54">
        <v>4277100.2787500005</v>
      </c>
      <c r="AW94" s="54">
        <v>10673487.528750001</v>
      </c>
      <c r="AX94" s="54">
        <v>47.625</v>
      </c>
      <c r="AY94" s="54">
        <v>39.25</v>
      </c>
      <c r="AZ94" s="54">
        <v>9.5714285714285712</v>
      </c>
      <c r="BA94" s="54" t="s">
        <v>343</v>
      </c>
      <c r="BB94" s="54" t="s">
        <v>366</v>
      </c>
    </row>
    <row r="95" spans="1:54" x14ac:dyDescent="0.25">
      <c r="A95" s="54">
        <v>6799</v>
      </c>
      <c r="B95" s="54">
        <v>2018</v>
      </c>
      <c r="C95" s="88" t="s">
        <v>82</v>
      </c>
      <c r="D95" s="54" t="s">
        <v>6</v>
      </c>
      <c r="E95" s="54" t="s">
        <v>77</v>
      </c>
      <c r="F95" s="54" t="str">
        <f>_xlfn.CONCAT(Table13[[#This Row],[Geographic Scope]],": ",Table13[[#This Row],[Sub-Type/Focus]])</f>
        <v>National: General</v>
      </c>
      <c r="G95" s="54" t="str">
        <f>_xlfn.CONCAT(Table13[[#This Row],[Geographic Scope]],": ",Table13[[#This Row],[Sub-Type/Focus]],": ",Table13[[#This Row],[Content Type]])</f>
        <v>National: General: Current News &amp; Events</v>
      </c>
      <c r="H95" s="54" t="str">
        <f>_xlfn.CONCAT(Table13[[#This Row],[Geographic Scope]],": ",Table13[[#This Row],[Content Type]])</f>
        <v>National: Current News &amp; Events</v>
      </c>
      <c r="I95" s="55">
        <v>6901629.0662500001</v>
      </c>
      <c r="J95" s="55">
        <v>6475997.1449999996</v>
      </c>
      <c r="K95" s="55">
        <v>425631.92125000001</v>
      </c>
      <c r="L95" s="54">
        <v>3187219.375</v>
      </c>
      <c r="M95" s="54">
        <v>124328.02499999999</v>
      </c>
      <c r="N95" s="54">
        <v>3107170.8887500004</v>
      </c>
      <c r="O95" s="54">
        <v>566432.29625000001</v>
      </c>
      <c r="P95" s="54">
        <v>220152.42499999999</v>
      </c>
      <c r="Q95" s="54">
        <v>2320586.1675000004</v>
      </c>
      <c r="R95" s="54">
        <v>401399.66666666669</v>
      </c>
      <c r="S95" s="54">
        <v>137049.674</v>
      </c>
      <c r="T95" s="54">
        <v>403687.66666666669</v>
      </c>
      <c r="U95" s="54">
        <v>4232.5</v>
      </c>
      <c r="V95" s="54">
        <v>171686.5</v>
      </c>
      <c r="W95" s="54">
        <v>48758</v>
      </c>
      <c r="X95" s="54">
        <v>202126.4</v>
      </c>
      <c r="Y95" s="54">
        <v>4626712.875</v>
      </c>
      <c r="Z95" s="54">
        <v>1513210.125</v>
      </c>
      <c r="AA95" s="54">
        <v>6139923</v>
      </c>
      <c r="AB95" s="54">
        <v>41.081249999999997</v>
      </c>
      <c r="AC95" s="54">
        <v>29.8125</v>
      </c>
      <c r="AD95" s="54">
        <v>11.268750000000001</v>
      </c>
      <c r="AE95" s="54">
        <v>6765755.5837500002</v>
      </c>
      <c r="AF95" s="54">
        <v>6582097.5599999996</v>
      </c>
      <c r="AG95" s="54">
        <v>183658.02374999999</v>
      </c>
      <c r="AH95" s="54">
        <v>2649128.80375</v>
      </c>
      <c r="AI95" s="54">
        <v>1927125.92</v>
      </c>
      <c r="AJ95" s="54">
        <v>3362154.1412500003</v>
      </c>
      <c r="AK95" s="54">
        <v>993287.1050000001</v>
      </c>
      <c r="AL95" s="54">
        <v>230636.78</v>
      </c>
      <c r="AM95" s="54">
        <v>2138230.2562500001</v>
      </c>
      <c r="AN95" s="54">
        <v>527878.19999999995</v>
      </c>
      <c r="AO95" s="54">
        <v>112745.565</v>
      </c>
      <c r="AP95" s="54">
        <v>54250</v>
      </c>
      <c r="AQ95" s="54">
        <v>15504</v>
      </c>
      <c r="AR95" s="54">
        <v>25000</v>
      </c>
      <c r="AS95" s="54">
        <v>131278.33333333334</v>
      </c>
      <c r="AT95" s="54">
        <v>62487.950000000004</v>
      </c>
      <c r="AU95" s="54">
        <v>6396387.25</v>
      </c>
      <c r="AV95" s="54">
        <v>4277100.2787500005</v>
      </c>
      <c r="AW95" s="54">
        <v>10673487.528750001</v>
      </c>
      <c r="AX95" s="54">
        <v>47.625</v>
      </c>
      <c r="AY95" s="54">
        <v>39.25</v>
      </c>
      <c r="AZ95" s="54">
        <v>9.5714285714285712</v>
      </c>
      <c r="BA95" s="54" t="s">
        <v>343</v>
      </c>
      <c r="BB95" s="54" t="s">
        <v>367</v>
      </c>
    </row>
    <row r="96" spans="1:54" x14ac:dyDescent="0.25">
      <c r="A96" s="54">
        <v>384</v>
      </c>
      <c r="B96" s="54">
        <v>1976</v>
      </c>
      <c r="C96" s="88" t="s">
        <v>82</v>
      </c>
      <c r="D96" s="54" t="s">
        <v>6</v>
      </c>
      <c r="E96" s="54" t="s">
        <v>78</v>
      </c>
      <c r="F96" s="54" t="str">
        <f>_xlfn.CONCAT(Table13[[#This Row],[Geographic Scope]],": ",Table13[[#This Row],[Sub-Type/Focus]])</f>
        <v>National: Multiple Related Topics</v>
      </c>
      <c r="G96" s="54" t="str">
        <f>_xlfn.CONCAT(Table13[[#This Row],[Geographic Scope]],": ",Table13[[#This Row],[Sub-Type/Focus]],": ",Table13[[#This Row],[Content Type]])</f>
        <v>National: Multiple Related Topics: Current News &amp; Events</v>
      </c>
      <c r="H96" s="54" t="str">
        <f>_xlfn.CONCAT(Table13[[#This Row],[Geographic Scope]],": ",Table13[[#This Row],[Content Type]])</f>
        <v>National: Current News &amp; Events</v>
      </c>
      <c r="I96" s="55">
        <v>6901629.0662500001</v>
      </c>
      <c r="J96" s="55">
        <v>6475997.1449999996</v>
      </c>
      <c r="K96" s="55">
        <v>425631.92125000001</v>
      </c>
      <c r="L96" s="54">
        <v>3187219.375</v>
      </c>
      <c r="M96" s="54">
        <v>124328.02499999999</v>
      </c>
      <c r="N96" s="54">
        <v>3107170.8887500004</v>
      </c>
      <c r="O96" s="54">
        <v>566432.29625000001</v>
      </c>
      <c r="P96" s="54">
        <v>220152.42499999999</v>
      </c>
      <c r="Q96" s="54">
        <v>2320586.1675000004</v>
      </c>
      <c r="R96" s="54">
        <v>401399.66666666669</v>
      </c>
      <c r="S96" s="54">
        <v>137049.674</v>
      </c>
      <c r="T96" s="54">
        <v>403687.66666666669</v>
      </c>
      <c r="U96" s="54">
        <v>4232.5</v>
      </c>
      <c r="V96" s="54">
        <v>171686.5</v>
      </c>
      <c r="W96" s="54">
        <v>48758</v>
      </c>
      <c r="X96" s="54">
        <v>202126.4</v>
      </c>
      <c r="Y96" s="54">
        <v>4626712.875</v>
      </c>
      <c r="Z96" s="54">
        <v>1513210.125</v>
      </c>
      <c r="AA96" s="54">
        <v>6139923</v>
      </c>
      <c r="AB96" s="54">
        <v>41.081249999999997</v>
      </c>
      <c r="AC96" s="54">
        <v>29.8125</v>
      </c>
      <c r="AD96" s="54">
        <v>11.268750000000001</v>
      </c>
      <c r="AE96" s="54">
        <v>2344832.086875</v>
      </c>
      <c r="AF96" s="54">
        <v>1961759.6431249999</v>
      </c>
      <c r="AG96" s="54">
        <v>408610.60666666663</v>
      </c>
      <c r="AH96" s="54">
        <v>1233064.375</v>
      </c>
      <c r="AI96" s="54">
        <v>269660.59999999998</v>
      </c>
      <c r="AJ96" s="54">
        <v>583545.26812499994</v>
      </c>
      <c r="AK96" s="54">
        <v>101783.39625000001</v>
      </c>
      <c r="AL96" s="54">
        <v>62772.184374999997</v>
      </c>
      <c r="AM96" s="54">
        <v>418989.6875</v>
      </c>
      <c r="AN96" s="54">
        <v>194819.4</v>
      </c>
      <c r="AO96" s="54">
        <v>180099.76250000001</v>
      </c>
      <c r="AP96" s="54">
        <v>209370.33333333334</v>
      </c>
      <c r="AQ96" s="54">
        <v>88074.666666666672</v>
      </c>
      <c r="AR96" s="54">
        <v>289866.16666666669</v>
      </c>
      <c r="AS96" s="54">
        <v>18873</v>
      </c>
      <c r="AT96" s="54">
        <v>194359.1</v>
      </c>
      <c r="AU96" s="54">
        <v>1300633.6666666667</v>
      </c>
      <c r="AV96" s="54">
        <v>940124.27777777775</v>
      </c>
      <c r="AW96" s="54">
        <v>2240757.9444444445</v>
      </c>
      <c r="AX96" s="54">
        <v>19.5</v>
      </c>
      <c r="AY96" s="54">
        <v>12.79</v>
      </c>
      <c r="AZ96" s="54">
        <v>8.3874999999999993</v>
      </c>
      <c r="BA96" s="54" t="s">
        <v>339</v>
      </c>
      <c r="BB96" s="54" t="s">
        <v>352</v>
      </c>
    </row>
    <row r="97" spans="1:54" x14ac:dyDescent="0.25">
      <c r="A97" s="54">
        <v>420</v>
      </c>
      <c r="B97" s="54">
        <v>2005</v>
      </c>
      <c r="C97" s="88" t="s">
        <v>82</v>
      </c>
      <c r="D97" s="54" t="s">
        <v>6</v>
      </c>
      <c r="E97" s="54" t="s">
        <v>78</v>
      </c>
      <c r="F97" s="54" t="str">
        <f>_xlfn.CONCAT(Table13[[#This Row],[Geographic Scope]],": ",Table13[[#This Row],[Sub-Type/Focus]])</f>
        <v>National: Multiple Related Topics</v>
      </c>
      <c r="G97" s="54" t="str">
        <f>_xlfn.CONCAT(Table13[[#This Row],[Geographic Scope]],": ",Table13[[#This Row],[Sub-Type/Focus]],": ",Table13[[#This Row],[Content Type]])</f>
        <v>National: Multiple Related Topics: Current News &amp; Events</v>
      </c>
      <c r="H97" s="54" t="str">
        <f>_xlfn.CONCAT(Table13[[#This Row],[Geographic Scope]],": ",Table13[[#This Row],[Content Type]])</f>
        <v>National: Current News &amp; Events</v>
      </c>
      <c r="I97" s="55">
        <v>6901629.0662500001</v>
      </c>
      <c r="J97" s="55">
        <v>6475997.1449999996</v>
      </c>
      <c r="K97" s="55">
        <v>425631.92125000001</v>
      </c>
      <c r="L97" s="54">
        <v>3187219.375</v>
      </c>
      <c r="M97" s="54">
        <v>124328.02499999999</v>
      </c>
      <c r="N97" s="54">
        <v>3107170.8887500004</v>
      </c>
      <c r="O97" s="54">
        <v>566432.29625000001</v>
      </c>
      <c r="P97" s="54">
        <v>220152.42499999999</v>
      </c>
      <c r="Q97" s="54">
        <v>2320586.1675000004</v>
      </c>
      <c r="R97" s="54">
        <v>401399.66666666669</v>
      </c>
      <c r="S97" s="54">
        <v>137049.674</v>
      </c>
      <c r="T97" s="54">
        <v>403687.66666666669</v>
      </c>
      <c r="U97" s="54">
        <v>4232.5</v>
      </c>
      <c r="V97" s="54">
        <v>171686.5</v>
      </c>
      <c r="W97" s="54">
        <v>48758</v>
      </c>
      <c r="X97" s="54">
        <v>202126.4</v>
      </c>
      <c r="Y97" s="54">
        <v>4626712.875</v>
      </c>
      <c r="Z97" s="54">
        <v>1513210.125</v>
      </c>
      <c r="AA97" s="54">
        <v>6139923</v>
      </c>
      <c r="AB97" s="54">
        <v>41.081249999999997</v>
      </c>
      <c r="AC97" s="54">
        <v>29.8125</v>
      </c>
      <c r="AD97" s="54">
        <v>11.268750000000001</v>
      </c>
      <c r="AE97" s="54">
        <v>2344832.086875</v>
      </c>
      <c r="AF97" s="54">
        <v>1961759.6431249999</v>
      </c>
      <c r="AG97" s="54">
        <v>408610.60666666663</v>
      </c>
      <c r="AH97" s="54">
        <v>1233064.375</v>
      </c>
      <c r="AI97" s="54">
        <v>269660.59999999998</v>
      </c>
      <c r="AJ97" s="54">
        <v>583545.26812499994</v>
      </c>
      <c r="AK97" s="54">
        <v>101783.39625000001</v>
      </c>
      <c r="AL97" s="54">
        <v>62772.184374999997</v>
      </c>
      <c r="AM97" s="54">
        <v>418989.6875</v>
      </c>
      <c r="AN97" s="54">
        <v>194819.4</v>
      </c>
      <c r="AO97" s="54">
        <v>180099.76250000001</v>
      </c>
      <c r="AP97" s="54">
        <v>209370.33333333334</v>
      </c>
      <c r="AQ97" s="54">
        <v>88074.666666666672</v>
      </c>
      <c r="AR97" s="54">
        <v>289866.16666666669</v>
      </c>
      <c r="AS97" s="54">
        <v>18873</v>
      </c>
      <c r="AT97" s="54">
        <v>194359.1</v>
      </c>
      <c r="AU97" s="54">
        <v>1300633.6666666667</v>
      </c>
      <c r="AV97" s="54">
        <v>940124.27777777775</v>
      </c>
      <c r="AW97" s="54">
        <v>2240757.9444444445</v>
      </c>
      <c r="AX97" s="54">
        <v>19.5</v>
      </c>
      <c r="AY97" s="54">
        <v>12.79</v>
      </c>
      <c r="AZ97" s="54">
        <v>8.3874999999999993</v>
      </c>
      <c r="BA97" s="54" t="s">
        <v>342</v>
      </c>
      <c r="BB97" s="54" t="s">
        <v>347</v>
      </c>
    </row>
    <row r="98" spans="1:54" x14ac:dyDescent="0.25">
      <c r="A98" s="54">
        <v>6816</v>
      </c>
      <c r="B98" s="54">
        <v>2019</v>
      </c>
      <c r="C98" s="88" t="s">
        <v>82</v>
      </c>
      <c r="D98" s="54" t="s">
        <v>6</v>
      </c>
      <c r="E98" s="54" t="s">
        <v>78</v>
      </c>
      <c r="F98" s="54" t="str">
        <f>_xlfn.CONCAT(Table13[[#This Row],[Geographic Scope]],": ",Table13[[#This Row],[Sub-Type/Focus]])</f>
        <v>National: Multiple Related Topics</v>
      </c>
      <c r="G98" s="54" t="str">
        <f>_xlfn.CONCAT(Table13[[#This Row],[Geographic Scope]],": ",Table13[[#This Row],[Sub-Type/Focus]],": ",Table13[[#This Row],[Content Type]])</f>
        <v>National: Multiple Related Topics: Current News &amp; Events</v>
      </c>
      <c r="H98" s="54" t="str">
        <f>_xlfn.CONCAT(Table13[[#This Row],[Geographic Scope]],": ",Table13[[#This Row],[Content Type]])</f>
        <v>National: Current News &amp; Events</v>
      </c>
      <c r="I98" s="55">
        <v>6901629.0662500001</v>
      </c>
      <c r="J98" s="55">
        <v>6475997.1449999996</v>
      </c>
      <c r="K98" s="55">
        <v>425631.92125000001</v>
      </c>
      <c r="L98" s="54">
        <v>3187219.375</v>
      </c>
      <c r="M98" s="54">
        <v>124328.02499999999</v>
      </c>
      <c r="N98" s="54">
        <v>3107170.8887500004</v>
      </c>
      <c r="O98" s="54">
        <v>566432.29625000001</v>
      </c>
      <c r="P98" s="54">
        <v>220152.42499999999</v>
      </c>
      <c r="Q98" s="54">
        <v>2320586.1675000004</v>
      </c>
      <c r="R98" s="54">
        <v>401399.66666666669</v>
      </c>
      <c r="S98" s="54">
        <v>137049.674</v>
      </c>
      <c r="T98" s="54">
        <v>403687.66666666669</v>
      </c>
      <c r="U98" s="54">
        <v>4232.5</v>
      </c>
      <c r="V98" s="54">
        <v>171686.5</v>
      </c>
      <c r="W98" s="54">
        <v>48758</v>
      </c>
      <c r="X98" s="54">
        <v>202126.4</v>
      </c>
      <c r="Y98" s="54">
        <v>4626712.875</v>
      </c>
      <c r="Z98" s="54">
        <v>1513210.125</v>
      </c>
      <c r="AA98" s="54">
        <v>6139923</v>
      </c>
      <c r="AB98" s="54">
        <v>41.081249999999997</v>
      </c>
      <c r="AC98" s="54">
        <v>29.8125</v>
      </c>
      <c r="AD98" s="54">
        <v>11.268750000000001</v>
      </c>
      <c r="AE98" s="54">
        <v>2344832.086875</v>
      </c>
      <c r="AF98" s="54">
        <v>1961759.6431249999</v>
      </c>
      <c r="AG98" s="54">
        <v>408610.60666666663</v>
      </c>
      <c r="AH98" s="54">
        <v>1233064.375</v>
      </c>
      <c r="AI98" s="54">
        <v>269660.59999999998</v>
      </c>
      <c r="AJ98" s="54">
        <v>583545.26812499994</v>
      </c>
      <c r="AK98" s="54">
        <v>101783.39625000001</v>
      </c>
      <c r="AL98" s="54">
        <v>62772.184374999997</v>
      </c>
      <c r="AM98" s="54">
        <v>418989.6875</v>
      </c>
      <c r="AN98" s="54">
        <v>194819.4</v>
      </c>
      <c r="AO98" s="54">
        <v>180099.76250000001</v>
      </c>
      <c r="AP98" s="54">
        <v>209370.33333333334</v>
      </c>
      <c r="AQ98" s="54">
        <v>88074.666666666672</v>
      </c>
      <c r="AR98" s="54">
        <v>289866.16666666669</v>
      </c>
      <c r="AS98" s="54">
        <v>18873</v>
      </c>
      <c r="AT98" s="54">
        <v>194359.1</v>
      </c>
      <c r="AU98" s="54">
        <v>1300633.6666666667</v>
      </c>
      <c r="AV98" s="54">
        <v>940124.27777777775</v>
      </c>
      <c r="AW98" s="54">
        <v>2240757.9444444445</v>
      </c>
      <c r="AX98" s="54">
        <v>19.5</v>
      </c>
      <c r="AY98" s="54">
        <v>12.79</v>
      </c>
      <c r="AZ98" s="54">
        <v>8.3874999999999993</v>
      </c>
      <c r="BA98" s="54" t="s">
        <v>342</v>
      </c>
    </row>
    <row r="99" spans="1:54" x14ac:dyDescent="0.25">
      <c r="A99" s="54">
        <v>346</v>
      </c>
      <c r="B99" s="54">
        <v>2013</v>
      </c>
      <c r="C99" s="88" t="s">
        <v>82</v>
      </c>
      <c r="D99" s="54" t="s">
        <v>6</v>
      </c>
      <c r="E99" s="54" t="s">
        <v>79</v>
      </c>
      <c r="F99" s="54" t="str">
        <f>_xlfn.CONCAT(Table13[[#This Row],[Geographic Scope]],": ",Table13[[#This Row],[Sub-Type/Focus]])</f>
        <v>National: Single-Topic</v>
      </c>
      <c r="G99" s="54" t="str">
        <f>_xlfn.CONCAT(Table13[[#This Row],[Geographic Scope]],": ",Table13[[#This Row],[Sub-Type/Focus]],": ",Table13[[#This Row],[Content Type]])</f>
        <v>National: Single-Topic: Current News &amp; Events</v>
      </c>
      <c r="H99" s="54" t="str">
        <f>_xlfn.CONCAT(Table13[[#This Row],[Geographic Scope]],": ",Table13[[#This Row],[Content Type]])</f>
        <v>National: Current News &amp; Events</v>
      </c>
      <c r="I99" s="55">
        <v>6901629.0662500001</v>
      </c>
      <c r="J99" s="55">
        <v>6475997.1449999996</v>
      </c>
      <c r="K99" s="55">
        <v>425631.92125000001</v>
      </c>
      <c r="L99" s="54">
        <v>3187219.375</v>
      </c>
      <c r="M99" s="54">
        <v>124328.02499999999</v>
      </c>
      <c r="N99" s="54">
        <v>3107170.8887500004</v>
      </c>
      <c r="O99" s="54">
        <v>566432.29625000001</v>
      </c>
      <c r="P99" s="54">
        <v>220152.42499999999</v>
      </c>
      <c r="Q99" s="54">
        <v>2320586.1675000004</v>
      </c>
      <c r="R99" s="54">
        <v>401399.66666666669</v>
      </c>
      <c r="S99" s="54">
        <v>137049.674</v>
      </c>
      <c r="T99" s="54">
        <v>403687.66666666669</v>
      </c>
      <c r="U99" s="54">
        <v>4232.5</v>
      </c>
      <c r="V99" s="54">
        <v>171686.5</v>
      </c>
      <c r="W99" s="54">
        <v>48758</v>
      </c>
      <c r="X99" s="54">
        <v>202126.4</v>
      </c>
      <c r="Y99" s="54">
        <v>4626712.875</v>
      </c>
      <c r="Z99" s="54">
        <v>1513210.125</v>
      </c>
      <c r="AA99" s="54">
        <v>6139923</v>
      </c>
      <c r="AB99" s="54">
        <v>41.081249999999997</v>
      </c>
      <c r="AC99" s="54">
        <v>29.8125</v>
      </c>
      <c r="AD99" s="54">
        <v>11.268750000000001</v>
      </c>
      <c r="AE99" s="54">
        <v>3277215.9824999995</v>
      </c>
      <c r="AF99" s="54">
        <v>3139098.2609999999</v>
      </c>
      <c r="AG99" s="54">
        <v>162491.43705882353</v>
      </c>
      <c r="AH99" s="54">
        <v>1593105.9355555556</v>
      </c>
      <c r="AI99" s="54">
        <v>124546.58749999999</v>
      </c>
      <c r="AJ99" s="54">
        <v>1641286.1014999999</v>
      </c>
      <c r="AK99" s="54">
        <v>725462.34050000005</v>
      </c>
      <c r="AL99" s="54">
        <v>18893.798999999999</v>
      </c>
      <c r="AM99" s="54">
        <v>896929.96200000006</v>
      </c>
      <c r="AN99" s="54">
        <v>97768.75</v>
      </c>
      <c r="AO99" s="54">
        <v>77198.87</v>
      </c>
      <c r="AP99" s="54">
        <v>205768.83333333334</v>
      </c>
      <c r="AQ99" s="54">
        <v>30288.2</v>
      </c>
      <c r="AR99" s="54">
        <v>94587.372499999998</v>
      </c>
      <c r="AS99" s="54">
        <v>18031.396000000001</v>
      </c>
      <c r="AT99" s="54">
        <v>24183.583333333332</v>
      </c>
      <c r="AU99" s="54">
        <v>1375785.7085000002</v>
      </c>
      <c r="AV99" s="54">
        <v>832988.39249999996</v>
      </c>
      <c r="AW99" s="54">
        <v>2208774.1009999998</v>
      </c>
      <c r="AX99" s="54">
        <v>18.587499999999999</v>
      </c>
      <c r="AY99" s="54">
        <v>11.3925</v>
      </c>
      <c r="AZ99" s="54">
        <v>8.4647058823529413</v>
      </c>
      <c r="BA99" s="54" t="s">
        <v>342</v>
      </c>
    </row>
    <row r="100" spans="1:54" x14ac:dyDescent="0.25">
      <c r="A100" s="54">
        <v>2934</v>
      </c>
      <c r="B100" s="54">
        <v>2003</v>
      </c>
      <c r="C100" s="88" t="s">
        <v>82</v>
      </c>
      <c r="D100" s="54" t="s">
        <v>6</v>
      </c>
      <c r="E100" s="54" t="s">
        <v>79</v>
      </c>
      <c r="F100" s="54" t="str">
        <f>_xlfn.CONCAT(Table13[[#This Row],[Geographic Scope]],": ",Table13[[#This Row],[Sub-Type/Focus]])</f>
        <v>National: Single-Topic</v>
      </c>
      <c r="G100" s="54" t="str">
        <f>_xlfn.CONCAT(Table13[[#This Row],[Geographic Scope]],": ",Table13[[#This Row],[Sub-Type/Focus]],": ",Table13[[#This Row],[Content Type]])</f>
        <v>National: Single-Topic: Current News &amp; Events</v>
      </c>
      <c r="H100" s="54" t="str">
        <f>_xlfn.CONCAT(Table13[[#This Row],[Geographic Scope]],": ",Table13[[#This Row],[Content Type]])</f>
        <v>National: Current News &amp; Events</v>
      </c>
      <c r="I100" s="55">
        <v>6901629.0662500001</v>
      </c>
      <c r="J100" s="55">
        <v>6475997.1449999996</v>
      </c>
      <c r="K100" s="55">
        <v>425631.92125000001</v>
      </c>
      <c r="L100" s="54">
        <v>3187219.375</v>
      </c>
      <c r="M100" s="54">
        <v>124328.02499999999</v>
      </c>
      <c r="N100" s="54">
        <v>3107170.8887500004</v>
      </c>
      <c r="O100" s="54">
        <v>566432.29625000001</v>
      </c>
      <c r="P100" s="54">
        <v>220152.42499999999</v>
      </c>
      <c r="Q100" s="54">
        <v>2320586.1675000004</v>
      </c>
      <c r="R100" s="54">
        <v>401399.66666666669</v>
      </c>
      <c r="S100" s="54">
        <v>137049.674</v>
      </c>
      <c r="T100" s="54">
        <v>403687.66666666669</v>
      </c>
      <c r="U100" s="54">
        <v>4232.5</v>
      </c>
      <c r="V100" s="54">
        <v>171686.5</v>
      </c>
      <c r="W100" s="54">
        <v>48758</v>
      </c>
      <c r="X100" s="54">
        <v>202126.4</v>
      </c>
      <c r="Y100" s="54">
        <v>4626712.875</v>
      </c>
      <c r="Z100" s="54">
        <v>1513210.125</v>
      </c>
      <c r="AA100" s="54">
        <v>6139923</v>
      </c>
      <c r="AB100" s="54">
        <v>41.081249999999997</v>
      </c>
      <c r="AC100" s="54">
        <v>29.8125</v>
      </c>
      <c r="AD100" s="54">
        <v>11.268750000000001</v>
      </c>
      <c r="AE100" s="54">
        <v>3277215.9824999995</v>
      </c>
      <c r="AF100" s="54">
        <v>3139098.2609999999</v>
      </c>
      <c r="AG100" s="54">
        <v>162491.43705882353</v>
      </c>
      <c r="AH100" s="54">
        <v>1593105.9355555556</v>
      </c>
      <c r="AI100" s="54">
        <v>124546.58749999999</v>
      </c>
      <c r="AJ100" s="54">
        <v>1641286.1014999999</v>
      </c>
      <c r="AK100" s="54">
        <v>725462.34050000005</v>
      </c>
      <c r="AL100" s="54">
        <v>18893.798999999999</v>
      </c>
      <c r="AM100" s="54">
        <v>896929.96200000006</v>
      </c>
      <c r="AN100" s="54">
        <v>97768.75</v>
      </c>
      <c r="AO100" s="54">
        <v>77198.87</v>
      </c>
      <c r="AP100" s="54">
        <v>205768.83333333334</v>
      </c>
      <c r="AQ100" s="54">
        <v>30288.2</v>
      </c>
      <c r="AR100" s="54">
        <v>94587.372499999998</v>
      </c>
      <c r="AS100" s="54">
        <v>18031.396000000001</v>
      </c>
      <c r="AT100" s="54">
        <v>24183.583333333332</v>
      </c>
      <c r="AU100" s="54">
        <v>1375785.7085000002</v>
      </c>
      <c r="AV100" s="54">
        <v>832988.39249999996</v>
      </c>
      <c r="AW100" s="54">
        <v>2208774.1009999998</v>
      </c>
      <c r="AX100" s="54">
        <v>18.587499999999999</v>
      </c>
      <c r="AY100" s="54">
        <v>11.3925</v>
      </c>
      <c r="AZ100" s="54">
        <v>8.4647058823529413</v>
      </c>
      <c r="BA100" s="54" t="s">
        <v>343</v>
      </c>
      <c r="BB100" s="54" t="s">
        <v>368</v>
      </c>
    </row>
    <row r="101" spans="1:54" x14ac:dyDescent="0.25">
      <c r="A101" s="54">
        <v>6821</v>
      </c>
      <c r="B101" s="54">
        <v>2015</v>
      </c>
      <c r="C101" s="88" t="s">
        <v>82</v>
      </c>
      <c r="D101" s="54" t="s">
        <v>6</v>
      </c>
      <c r="E101" s="54" t="s">
        <v>79</v>
      </c>
      <c r="F101" s="54" t="str">
        <f>_xlfn.CONCAT(Table13[[#This Row],[Geographic Scope]],": ",Table13[[#This Row],[Sub-Type/Focus]])</f>
        <v>National: Single-Topic</v>
      </c>
      <c r="G101" s="54" t="str">
        <f>_xlfn.CONCAT(Table13[[#This Row],[Geographic Scope]],": ",Table13[[#This Row],[Sub-Type/Focus]],": ",Table13[[#This Row],[Content Type]])</f>
        <v>National: Single-Topic: Current News &amp; Events</v>
      </c>
      <c r="H101" s="54" t="str">
        <f>_xlfn.CONCAT(Table13[[#This Row],[Geographic Scope]],": ",Table13[[#This Row],[Content Type]])</f>
        <v>National: Current News &amp; Events</v>
      </c>
      <c r="I101" s="55">
        <v>6901629.0662500001</v>
      </c>
      <c r="J101" s="55">
        <v>6475997.1449999996</v>
      </c>
      <c r="K101" s="55">
        <v>425631.92125000001</v>
      </c>
      <c r="L101" s="54">
        <v>3187219.375</v>
      </c>
      <c r="M101" s="54">
        <v>124328.02499999999</v>
      </c>
      <c r="N101" s="54">
        <v>3107170.8887500004</v>
      </c>
      <c r="O101" s="54">
        <v>566432.29625000001</v>
      </c>
      <c r="P101" s="54">
        <v>220152.42499999999</v>
      </c>
      <c r="Q101" s="54">
        <v>2320586.1675000004</v>
      </c>
      <c r="R101" s="54">
        <v>401399.66666666669</v>
      </c>
      <c r="S101" s="54">
        <v>137049.674</v>
      </c>
      <c r="T101" s="54">
        <v>403687.66666666669</v>
      </c>
      <c r="U101" s="54">
        <v>4232.5</v>
      </c>
      <c r="V101" s="54">
        <v>171686.5</v>
      </c>
      <c r="W101" s="54">
        <v>48758</v>
      </c>
      <c r="X101" s="54">
        <v>202126.4</v>
      </c>
      <c r="Y101" s="54">
        <v>4626712.875</v>
      </c>
      <c r="Z101" s="54">
        <v>1513210.125</v>
      </c>
      <c r="AA101" s="54">
        <v>6139923</v>
      </c>
      <c r="AB101" s="54">
        <v>41.081249999999997</v>
      </c>
      <c r="AC101" s="54">
        <v>29.8125</v>
      </c>
      <c r="AD101" s="54">
        <v>11.268750000000001</v>
      </c>
      <c r="AE101" s="54">
        <v>3277215.9824999995</v>
      </c>
      <c r="AF101" s="54">
        <v>3139098.2609999999</v>
      </c>
      <c r="AG101" s="54">
        <v>162491.43705882353</v>
      </c>
      <c r="AH101" s="54">
        <v>1593105.9355555556</v>
      </c>
      <c r="AI101" s="54">
        <v>124546.58749999999</v>
      </c>
      <c r="AJ101" s="54">
        <v>1641286.1014999999</v>
      </c>
      <c r="AK101" s="54">
        <v>725462.34050000005</v>
      </c>
      <c r="AL101" s="54">
        <v>18893.798999999999</v>
      </c>
      <c r="AM101" s="54">
        <v>896929.96200000006</v>
      </c>
      <c r="AN101" s="54">
        <v>97768.75</v>
      </c>
      <c r="AO101" s="54">
        <v>77198.87</v>
      </c>
      <c r="AP101" s="54">
        <v>205768.83333333334</v>
      </c>
      <c r="AQ101" s="54">
        <v>30288.2</v>
      </c>
      <c r="AR101" s="54">
        <v>94587.372499999998</v>
      </c>
      <c r="AS101" s="54">
        <v>18031.396000000001</v>
      </c>
      <c r="AT101" s="54">
        <v>24183.583333333332</v>
      </c>
      <c r="AU101" s="54">
        <v>1375785.7085000002</v>
      </c>
      <c r="AV101" s="54">
        <v>832988.39249999996</v>
      </c>
      <c r="AW101" s="54">
        <v>2208774.1009999998</v>
      </c>
      <c r="AX101" s="54">
        <v>18.587499999999999</v>
      </c>
      <c r="AY101" s="54">
        <v>11.3925</v>
      </c>
      <c r="AZ101" s="54">
        <v>8.4647058823529413</v>
      </c>
      <c r="BA101" s="54" t="s">
        <v>342</v>
      </c>
      <c r="BB101" s="54" t="s">
        <v>346</v>
      </c>
    </row>
    <row r="102" spans="1:54" x14ac:dyDescent="0.25">
      <c r="A102" s="54">
        <v>374</v>
      </c>
      <c r="B102" s="54">
        <v>2010</v>
      </c>
      <c r="C102" s="88" t="s">
        <v>80</v>
      </c>
      <c r="D102" s="54" t="s">
        <v>6</v>
      </c>
      <c r="E102" s="54" t="s">
        <v>77</v>
      </c>
      <c r="F102" s="54" t="str">
        <f>_xlfn.CONCAT(Table13[[#This Row],[Geographic Scope]],": ",Table13[[#This Row],[Sub-Type/Focus]])</f>
        <v>National: General</v>
      </c>
      <c r="G102" s="54" t="str">
        <f>_xlfn.CONCAT(Table13[[#This Row],[Geographic Scope]],": ",Table13[[#This Row],[Sub-Type/Focus]],": ",Table13[[#This Row],[Content Type]])</f>
        <v>National: General: Explanatory &amp; Analysis</v>
      </c>
      <c r="H102" s="54" t="str">
        <f>_xlfn.CONCAT(Table13[[#This Row],[Geographic Scope]],": ",Table13[[#This Row],[Content Type]])</f>
        <v>National: Explanatory &amp; Analysis</v>
      </c>
      <c r="I102" s="55">
        <v>1817479.8191304347</v>
      </c>
      <c r="J102" s="55">
        <v>1612827.7799999998</v>
      </c>
      <c r="K102" s="55">
        <v>235349.84500000006</v>
      </c>
      <c r="L102" s="54">
        <v>861863.35636363633</v>
      </c>
      <c r="M102" s="54">
        <v>201954.71666666667</v>
      </c>
      <c r="N102" s="54">
        <v>627342.51304347813</v>
      </c>
      <c r="O102" s="54">
        <v>47470.090434782614</v>
      </c>
      <c r="P102" s="54">
        <v>32657.729130434778</v>
      </c>
      <c r="Q102" s="54">
        <v>547214.69347826089</v>
      </c>
      <c r="R102" s="54">
        <v>226676.27272727274</v>
      </c>
      <c r="S102" s="54">
        <v>165261.908</v>
      </c>
      <c r="T102" s="54">
        <v>25975</v>
      </c>
      <c r="U102" s="54">
        <v>79741.2</v>
      </c>
      <c r="V102" s="54">
        <v>217480.43625</v>
      </c>
      <c r="W102" s="54">
        <v>46110.22</v>
      </c>
      <c r="X102" s="54">
        <v>33078.029166666667</v>
      </c>
      <c r="Y102" s="54">
        <v>1051833.1813043479</v>
      </c>
      <c r="Z102" s="54">
        <v>1023359.307826087</v>
      </c>
      <c r="AA102" s="54">
        <v>2075192.489130435</v>
      </c>
      <c r="AB102" s="54">
        <v>18.764583333333334</v>
      </c>
      <c r="AC102" s="54">
        <v>11.964583333333335</v>
      </c>
      <c r="AD102" s="54">
        <v>8.5894736842105264</v>
      </c>
      <c r="AE102" s="54">
        <v>6765755.5837500002</v>
      </c>
      <c r="AF102" s="54">
        <v>6582097.5599999996</v>
      </c>
      <c r="AG102" s="54">
        <v>183658.02374999999</v>
      </c>
      <c r="AH102" s="54">
        <v>2649128.80375</v>
      </c>
      <c r="AI102" s="54">
        <v>1927125.92</v>
      </c>
      <c r="AJ102" s="54">
        <v>3362154.1412500003</v>
      </c>
      <c r="AK102" s="54">
        <v>993287.1050000001</v>
      </c>
      <c r="AL102" s="54">
        <v>230636.78</v>
      </c>
      <c r="AM102" s="54">
        <v>2138230.2562500001</v>
      </c>
      <c r="AN102" s="54">
        <v>527878.19999999995</v>
      </c>
      <c r="AO102" s="54">
        <v>112745.565</v>
      </c>
      <c r="AP102" s="54">
        <v>54250</v>
      </c>
      <c r="AQ102" s="54">
        <v>15504</v>
      </c>
      <c r="AR102" s="54">
        <v>25000</v>
      </c>
      <c r="AS102" s="54">
        <v>131278.33333333334</v>
      </c>
      <c r="AT102" s="54">
        <v>62487.950000000004</v>
      </c>
      <c r="AU102" s="54">
        <v>6396387.25</v>
      </c>
      <c r="AV102" s="54">
        <v>4277100.2787500005</v>
      </c>
      <c r="AW102" s="54">
        <v>10673487.528750001</v>
      </c>
      <c r="AX102" s="54">
        <v>47.625</v>
      </c>
      <c r="AY102" s="54">
        <v>39.25</v>
      </c>
      <c r="AZ102" s="54">
        <v>9.5714285714285712</v>
      </c>
      <c r="BA102" s="54" t="s">
        <v>342</v>
      </c>
      <c r="BB102" s="54" t="s">
        <v>370</v>
      </c>
    </row>
    <row r="103" spans="1:54" x14ac:dyDescent="0.25">
      <c r="A103" s="54">
        <v>396</v>
      </c>
      <c r="B103" s="54">
        <v>2009</v>
      </c>
      <c r="C103" s="88" t="s">
        <v>80</v>
      </c>
      <c r="D103" s="54" t="s">
        <v>6</v>
      </c>
      <c r="E103" s="54" t="s">
        <v>77</v>
      </c>
      <c r="F103" s="54" t="str">
        <f>_xlfn.CONCAT(Table13[[#This Row],[Geographic Scope]],": ",Table13[[#This Row],[Sub-Type/Focus]])</f>
        <v>National: General</v>
      </c>
      <c r="G103" s="54" t="str">
        <f>_xlfn.CONCAT(Table13[[#This Row],[Geographic Scope]],": ",Table13[[#This Row],[Sub-Type/Focus]],": ",Table13[[#This Row],[Content Type]])</f>
        <v>National: General: Explanatory &amp; Analysis</v>
      </c>
      <c r="H103" s="54" t="str">
        <f>_xlfn.CONCAT(Table13[[#This Row],[Geographic Scope]],": ",Table13[[#This Row],[Content Type]])</f>
        <v>National: Explanatory &amp; Analysis</v>
      </c>
      <c r="I103" s="55">
        <v>1817479.8191304347</v>
      </c>
      <c r="J103" s="55">
        <v>1612827.7799999998</v>
      </c>
      <c r="K103" s="55">
        <v>235349.84500000006</v>
      </c>
      <c r="L103" s="54">
        <v>861863.35636363633</v>
      </c>
      <c r="M103" s="54">
        <v>201954.71666666667</v>
      </c>
      <c r="N103" s="54">
        <v>627342.51304347813</v>
      </c>
      <c r="O103" s="54">
        <v>47470.090434782614</v>
      </c>
      <c r="P103" s="54">
        <v>32657.729130434778</v>
      </c>
      <c r="Q103" s="54">
        <v>547214.69347826089</v>
      </c>
      <c r="R103" s="54">
        <v>226676.27272727274</v>
      </c>
      <c r="S103" s="54">
        <v>165261.908</v>
      </c>
      <c r="T103" s="54">
        <v>25975</v>
      </c>
      <c r="U103" s="54">
        <v>79741.2</v>
      </c>
      <c r="V103" s="54">
        <v>217480.43625</v>
      </c>
      <c r="W103" s="54">
        <v>46110.22</v>
      </c>
      <c r="X103" s="54">
        <v>33078.029166666667</v>
      </c>
      <c r="Y103" s="54">
        <v>1051833.1813043479</v>
      </c>
      <c r="Z103" s="54">
        <v>1023359.307826087</v>
      </c>
      <c r="AA103" s="54">
        <v>2075192.489130435</v>
      </c>
      <c r="AB103" s="54">
        <v>18.764583333333334</v>
      </c>
      <c r="AC103" s="54">
        <v>11.964583333333335</v>
      </c>
      <c r="AD103" s="54">
        <v>8.5894736842105264</v>
      </c>
      <c r="AE103" s="54">
        <v>6765755.5837500002</v>
      </c>
      <c r="AF103" s="54">
        <v>6582097.5599999996</v>
      </c>
      <c r="AG103" s="54">
        <v>183658.02374999999</v>
      </c>
      <c r="AH103" s="54">
        <v>2649128.80375</v>
      </c>
      <c r="AI103" s="54">
        <v>1927125.92</v>
      </c>
      <c r="AJ103" s="54">
        <v>3362154.1412500003</v>
      </c>
      <c r="AK103" s="54">
        <v>993287.1050000001</v>
      </c>
      <c r="AL103" s="54">
        <v>230636.78</v>
      </c>
      <c r="AM103" s="54">
        <v>2138230.2562500001</v>
      </c>
      <c r="AN103" s="54">
        <v>527878.19999999995</v>
      </c>
      <c r="AO103" s="54">
        <v>112745.565</v>
      </c>
      <c r="AP103" s="54">
        <v>54250</v>
      </c>
      <c r="AQ103" s="54">
        <v>15504</v>
      </c>
      <c r="AR103" s="54">
        <v>25000</v>
      </c>
      <c r="AS103" s="54">
        <v>131278.33333333334</v>
      </c>
      <c r="AT103" s="54">
        <v>62487.950000000004</v>
      </c>
      <c r="AU103" s="54">
        <v>6396387.25</v>
      </c>
      <c r="AV103" s="54">
        <v>4277100.2787500005</v>
      </c>
      <c r="AW103" s="54">
        <v>10673487.528750001</v>
      </c>
      <c r="AX103" s="54">
        <v>47.625</v>
      </c>
      <c r="AY103" s="54">
        <v>39.25</v>
      </c>
      <c r="AZ103" s="54">
        <v>9.5714285714285712</v>
      </c>
      <c r="BA103" s="54" t="s">
        <v>342</v>
      </c>
      <c r="BB103" s="54" t="s">
        <v>346</v>
      </c>
    </row>
    <row r="104" spans="1:54" x14ac:dyDescent="0.25">
      <c r="A104" s="54">
        <v>448</v>
      </c>
      <c r="B104" s="54">
        <v>2013</v>
      </c>
      <c r="C104" s="88" t="s">
        <v>80</v>
      </c>
      <c r="D104" s="54" t="s">
        <v>6</v>
      </c>
      <c r="E104" s="54" t="s">
        <v>77</v>
      </c>
      <c r="F104" s="54" t="str">
        <f>_xlfn.CONCAT(Table13[[#This Row],[Geographic Scope]],": ",Table13[[#This Row],[Sub-Type/Focus]])</f>
        <v>National: General</v>
      </c>
      <c r="G104" s="54" t="str">
        <f>_xlfn.CONCAT(Table13[[#This Row],[Geographic Scope]],": ",Table13[[#This Row],[Sub-Type/Focus]],": ",Table13[[#This Row],[Content Type]])</f>
        <v>National: General: Explanatory &amp; Analysis</v>
      </c>
      <c r="H104" s="54" t="str">
        <f>_xlfn.CONCAT(Table13[[#This Row],[Geographic Scope]],": ",Table13[[#This Row],[Content Type]])</f>
        <v>National: Explanatory &amp; Analysis</v>
      </c>
      <c r="I104" s="55">
        <v>1817479.8191304347</v>
      </c>
      <c r="J104" s="55">
        <v>1612827.7799999998</v>
      </c>
      <c r="K104" s="55">
        <v>235349.84500000006</v>
      </c>
      <c r="L104" s="54">
        <v>861863.35636363633</v>
      </c>
      <c r="M104" s="54">
        <v>201954.71666666667</v>
      </c>
      <c r="N104" s="54">
        <v>627342.51304347813</v>
      </c>
      <c r="O104" s="54">
        <v>47470.090434782614</v>
      </c>
      <c r="P104" s="54">
        <v>32657.729130434778</v>
      </c>
      <c r="Q104" s="54">
        <v>547214.69347826089</v>
      </c>
      <c r="R104" s="54">
        <v>226676.27272727274</v>
      </c>
      <c r="S104" s="54">
        <v>165261.908</v>
      </c>
      <c r="T104" s="54">
        <v>25975</v>
      </c>
      <c r="U104" s="54">
        <v>79741.2</v>
      </c>
      <c r="V104" s="54">
        <v>217480.43625</v>
      </c>
      <c r="W104" s="54">
        <v>46110.22</v>
      </c>
      <c r="X104" s="54">
        <v>33078.029166666667</v>
      </c>
      <c r="Y104" s="54">
        <v>1051833.1813043479</v>
      </c>
      <c r="Z104" s="54">
        <v>1023359.307826087</v>
      </c>
      <c r="AA104" s="54">
        <v>2075192.489130435</v>
      </c>
      <c r="AB104" s="54">
        <v>18.764583333333334</v>
      </c>
      <c r="AC104" s="54">
        <v>11.964583333333335</v>
      </c>
      <c r="AD104" s="54">
        <v>8.5894736842105264</v>
      </c>
      <c r="AE104" s="54">
        <v>6765755.5837500002</v>
      </c>
      <c r="AF104" s="54">
        <v>6582097.5599999996</v>
      </c>
      <c r="AG104" s="54">
        <v>183658.02374999999</v>
      </c>
      <c r="AH104" s="54">
        <v>2649128.80375</v>
      </c>
      <c r="AI104" s="54">
        <v>1927125.92</v>
      </c>
      <c r="AJ104" s="54">
        <v>3362154.1412500003</v>
      </c>
      <c r="AK104" s="54">
        <v>993287.1050000001</v>
      </c>
      <c r="AL104" s="54">
        <v>230636.78</v>
      </c>
      <c r="AM104" s="54">
        <v>2138230.2562500001</v>
      </c>
      <c r="AN104" s="54">
        <v>527878.19999999995</v>
      </c>
      <c r="AO104" s="54">
        <v>112745.565</v>
      </c>
      <c r="AP104" s="54">
        <v>54250</v>
      </c>
      <c r="AQ104" s="54">
        <v>15504</v>
      </c>
      <c r="AR104" s="54">
        <v>25000</v>
      </c>
      <c r="AS104" s="54">
        <v>131278.33333333334</v>
      </c>
      <c r="AT104" s="54">
        <v>62487.950000000004</v>
      </c>
      <c r="AU104" s="54">
        <v>6396387.25</v>
      </c>
      <c r="AV104" s="54">
        <v>4277100.2787500005</v>
      </c>
      <c r="AW104" s="54">
        <v>10673487.528750001</v>
      </c>
      <c r="AX104" s="54">
        <v>47.625</v>
      </c>
      <c r="AY104" s="54">
        <v>39.25</v>
      </c>
      <c r="AZ104" s="54">
        <v>9.5714285714285712</v>
      </c>
      <c r="BA104" s="54" t="s">
        <v>342</v>
      </c>
      <c r="BB104" s="54" t="s">
        <v>346</v>
      </c>
    </row>
    <row r="105" spans="1:54" x14ac:dyDescent="0.25">
      <c r="A105" s="54">
        <v>518</v>
      </c>
      <c r="B105" s="54">
        <v>1993</v>
      </c>
      <c r="C105" s="88" t="s">
        <v>80</v>
      </c>
      <c r="D105" s="54" t="s">
        <v>6</v>
      </c>
      <c r="E105" s="54" t="s">
        <v>77</v>
      </c>
      <c r="F105" s="54" t="str">
        <f>_xlfn.CONCAT(Table13[[#This Row],[Geographic Scope]],": ",Table13[[#This Row],[Sub-Type/Focus]])</f>
        <v>National: General</v>
      </c>
      <c r="G105" s="54" t="str">
        <f>_xlfn.CONCAT(Table13[[#This Row],[Geographic Scope]],": ",Table13[[#This Row],[Sub-Type/Focus]],": ",Table13[[#This Row],[Content Type]])</f>
        <v>National: General: Explanatory &amp; Analysis</v>
      </c>
      <c r="H105" s="54" t="str">
        <f>_xlfn.CONCAT(Table13[[#This Row],[Geographic Scope]],": ",Table13[[#This Row],[Content Type]])</f>
        <v>National: Explanatory &amp; Analysis</v>
      </c>
      <c r="I105" s="55">
        <v>1817479.8191304347</v>
      </c>
      <c r="J105" s="55">
        <v>1612827.7799999998</v>
      </c>
      <c r="K105" s="55">
        <v>235349.84500000006</v>
      </c>
      <c r="L105" s="54">
        <v>861863.35636363633</v>
      </c>
      <c r="M105" s="54">
        <v>201954.71666666667</v>
      </c>
      <c r="N105" s="54">
        <v>627342.51304347813</v>
      </c>
      <c r="O105" s="54">
        <v>47470.090434782614</v>
      </c>
      <c r="P105" s="54">
        <v>32657.729130434778</v>
      </c>
      <c r="Q105" s="54">
        <v>547214.69347826089</v>
      </c>
      <c r="R105" s="54">
        <v>226676.27272727274</v>
      </c>
      <c r="S105" s="54">
        <v>165261.908</v>
      </c>
      <c r="T105" s="54">
        <v>25975</v>
      </c>
      <c r="U105" s="54">
        <v>79741.2</v>
      </c>
      <c r="V105" s="54">
        <v>217480.43625</v>
      </c>
      <c r="W105" s="54">
        <v>46110.22</v>
      </c>
      <c r="X105" s="54">
        <v>33078.029166666667</v>
      </c>
      <c r="Y105" s="54">
        <v>1051833.1813043479</v>
      </c>
      <c r="Z105" s="54">
        <v>1023359.307826087</v>
      </c>
      <c r="AA105" s="54">
        <v>2075192.489130435</v>
      </c>
      <c r="AB105" s="54">
        <v>18.764583333333334</v>
      </c>
      <c r="AC105" s="54">
        <v>11.964583333333335</v>
      </c>
      <c r="AD105" s="54">
        <v>8.5894736842105264</v>
      </c>
      <c r="AE105" s="54">
        <v>6765755.5837500002</v>
      </c>
      <c r="AF105" s="54">
        <v>6582097.5599999996</v>
      </c>
      <c r="AG105" s="54">
        <v>183658.02374999999</v>
      </c>
      <c r="AH105" s="54">
        <v>2649128.80375</v>
      </c>
      <c r="AI105" s="54">
        <v>1927125.92</v>
      </c>
      <c r="AJ105" s="54">
        <v>3362154.1412500003</v>
      </c>
      <c r="AK105" s="54">
        <v>993287.1050000001</v>
      </c>
      <c r="AL105" s="54">
        <v>230636.78</v>
      </c>
      <c r="AM105" s="54">
        <v>2138230.2562500001</v>
      </c>
      <c r="AN105" s="54">
        <v>527878.19999999995</v>
      </c>
      <c r="AO105" s="54">
        <v>112745.565</v>
      </c>
      <c r="AP105" s="54">
        <v>54250</v>
      </c>
      <c r="AQ105" s="54">
        <v>15504</v>
      </c>
      <c r="AR105" s="54">
        <v>25000</v>
      </c>
      <c r="AS105" s="54">
        <v>131278.33333333334</v>
      </c>
      <c r="AT105" s="54">
        <v>62487.950000000004</v>
      </c>
      <c r="AU105" s="54">
        <v>6396387.25</v>
      </c>
      <c r="AV105" s="54">
        <v>4277100.2787500005</v>
      </c>
      <c r="AW105" s="54">
        <v>10673487.528750001</v>
      </c>
      <c r="AX105" s="54">
        <v>47.625</v>
      </c>
      <c r="AY105" s="54">
        <v>39.25</v>
      </c>
      <c r="AZ105" s="54">
        <v>9.5714285714285712</v>
      </c>
      <c r="BA105" s="54" t="s">
        <v>342</v>
      </c>
      <c r="BB105" s="54" t="s">
        <v>371</v>
      </c>
    </row>
    <row r="106" spans="1:54" x14ac:dyDescent="0.25">
      <c r="A106" s="54">
        <v>85</v>
      </c>
      <c r="B106" s="54">
        <v>2017</v>
      </c>
      <c r="C106" s="88" t="s">
        <v>80</v>
      </c>
      <c r="D106" s="54" t="s">
        <v>6</v>
      </c>
      <c r="E106" s="54" t="s">
        <v>78</v>
      </c>
      <c r="F106" s="54" t="str">
        <f>_xlfn.CONCAT(Table13[[#This Row],[Geographic Scope]],": ",Table13[[#This Row],[Sub-Type/Focus]])</f>
        <v>National: Multiple Related Topics</v>
      </c>
      <c r="G106" s="54" t="str">
        <f>_xlfn.CONCAT(Table13[[#This Row],[Geographic Scope]],": ",Table13[[#This Row],[Sub-Type/Focus]],": ",Table13[[#This Row],[Content Type]])</f>
        <v>National: Multiple Related Topics: Explanatory &amp; Analysis</v>
      </c>
      <c r="H106" s="54" t="str">
        <f>_xlfn.CONCAT(Table13[[#This Row],[Geographic Scope]],": ",Table13[[#This Row],[Content Type]])</f>
        <v>National: Explanatory &amp; Analysis</v>
      </c>
      <c r="I106" s="55">
        <v>1817479.8191304347</v>
      </c>
      <c r="J106" s="55">
        <v>1612827.7799999998</v>
      </c>
      <c r="K106" s="55">
        <v>235349.84500000006</v>
      </c>
      <c r="L106" s="54">
        <v>861863.35636363633</v>
      </c>
      <c r="M106" s="54">
        <v>201954.71666666667</v>
      </c>
      <c r="N106" s="54">
        <v>627342.51304347813</v>
      </c>
      <c r="O106" s="54">
        <v>47470.090434782614</v>
      </c>
      <c r="P106" s="54">
        <v>32657.729130434778</v>
      </c>
      <c r="Q106" s="54">
        <v>547214.69347826089</v>
      </c>
      <c r="R106" s="54">
        <v>226676.27272727274</v>
      </c>
      <c r="S106" s="54">
        <v>165261.908</v>
      </c>
      <c r="T106" s="54">
        <v>25975</v>
      </c>
      <c r="U106" s="54">
        <v>79741.2</v>
      </c>
      <c r="V106" s="54">
        <v>217480.43625</v>
      </c>
      <c r="W106" s="54">
        <v>46110.22</v>
      </c>
      <c r="X106" s="54">
        <v>33078.029166666667</v>
      </c>
      <c r="Y106" s="54">
        <v>1051833.1813043479</v>
      </c>
      <c r="Z106" s="54">
        <v>1023359.307826087</v>
      </c>
      <c r="AA106" s="54">
        <v>2075192.489130435</v>
      </c>
      <c r="AB106" s="54">
        <v>18.764583333333334</v>
      </c>
      <c r="AC106" s="54">
        <v>11.964583333333335</v>
      </c>
      <c r="AD106" s="54">
        <v>8.5894736842105264</v>
      </c>
      <c r="AE106" s="54">
        <v>2344832.086875</v>
      </c>
      <c r="AF106" s="54">
        <v>1961759.6431249999</v>
      </c>
      <c r="AG106" s="54">
        <v>408610.60666666663</v>
      </c>
      <c r="AH106" s="54">
        <v>1233064.375</v>
      </c>
      <c r="AI106" s="54">
        <v>269660.59999999998</v>
      </c>
      <c r="AJ106" s="54">
        <v>583545.26812499994</v>
      </c>
      <c r="AK106" s="54">
        <v>101783.39625000001</v>
      </c>
      <c r="AL106" s="54">
        <v>62772.184374999997</v>
      </c>
      <c r="AM106" s="54">
        <v>418989.6875</v>
      </c>
      <c r="AN106" s="54">
        <v>194819.4</v>
      </c>
      <c r="AO106" s="54">
        <v>180099.76250000001</v>
      </c>
      <c r="AP106" s="54">
        <v>209370.33333333334</v>
      </c>
      <c r="AQ106" s="54">
        <v>88074.666666666672</v>
      </c>
      <c r="AR106" s="54">
        <v>289866.16666666669</v>
      </c>
      <c r="AS106" s="54">
        <v>18873</v>
      </c>
      <c r="AT106" s="54">
        <v>194359.1</v>
      </c>
      <c r="AU106" s="54">
        <v>1300633.6666666667</v>
      </c>
      <c r="AV106" s="54">
        <v>940124.27777777775</v>
      </c>
      <c r="AW106" s="54">
        <v>2240757.9444444445</v>
      </c>
      <c r="AX106" s="54">
        <v>19.5</v>
      </c>
      <c r="AY106" s="54">
        <v>12.79</v>
      </c>
      <c r="AZ106" s="54">
        <v>8.3874999999999993</v>
      </c>
      <c r="BA106" s="54" t="s">
        <v>342</v>
      </c>
      <c r="BB106" s="54" t="s">
        <v>347</v>
      </c>
    </row>
    <row r="107" spans="1:54" x14ac:dyDescent="0.25">
      <c r="A107" s="54">
        <v>354</v>
      </c>
      <c r="B107" s="54">
        <v>2009</v>
      </c>
      <c r="C107" s="88" t="s">
        <v>80</v>
      </c>
      <c r="D107" s="54" t="s">
        <v>6</v>
      </c>
      <c r="E107" s="54" t="s">
        <v>78</v>
      </c>
      <c r="F107" s="54" t="str">
        <f>_xlfn.CONCAT(Table13[[#This Row],[Geographic Scope]],": ",Table13[[#This Row],[Sub-Type/Focus]])</f>
        <v>National: Multiple Related Topics</v>
      </c>
      <c r="G107" s="54" t="str">
        <f>_xlfn.CONCAT(Table13[[#This Row],[Geographic Scope]],": ",Table13[[#This Row],[Sub-Type/Focus]],": ",Table13[[#This Row],[Content Type]])</f>
        <v>National: Multiple Related Topics: Explanatory &amp; Analysis</v>
      </c>
      <c r="H107" s="54" t="str">
        <f>_xlfn.CONCAT(Table13[[#This Row],[Geographic Scope]],": ",Table13[[#This Row],[Content Type]])</f>
        <v>National: Explanatory &amp; Analysis</v>
      </c>
      <c r="I107" s="55">
        <v>1817479.8191304347</v>
      </c>
      <c r="J107" s="55">
        <v>1612827.7799999998</v>
      </c>
      <c r="K107" s="55">
        <v>235349.84500000006</v>
      </c>
      <c r="L107" s="54">
        <v>861863.35636363633</v>
      </c>
      <c r="M107" s="54">
        <v>201954.71666666667</v>
      </c>
      <c r="N107" s="54">
        <v>627342.51304347813</v>
      </c>
      <c r="O107" s="54">
        <v>47470.090434782614</v>
      </c>
      <c r="P107" s="54">
        <v>32657.729130434778</v>
      </c>
      <c r="Q107" s="54">
        <v>547214.69347826089</v>
      </c>
      <c r="R107" s="54">
        <v>226676.27272727274</v>
      </c>
      <c r="S107" s="54">
        <v>165261.908</v>
      </c>
      <c r="T107" s="54">
        <v>25975</v>
      </c>
      <c r="U107" s="54">
        <v>79741.2</v>
      </c>
      <c r="V107" s="54">
        <v>217480.43625</v>
      </c>
      <c r="W107" s="54">
        <v>46110.22</v>
      </c>
      <c r="X107" s="54">
        <v>33078.029166666667</v>
      </c>
      <c r="Y107" s="54">
        <v>1051833.1813043479</v>
      </c>
      <c r="Z107" s="54">
        <v>1023359.307826087</v>
      </c>
      <c r="AA107" s="54">
        <v>2075192.489130435</v>
      </c>
      <c r="AB107" s="54">
        <v>18.764583333333334</v>
      </c>
      <c r="AC107" s="54">
        <v>11.964583333333335</v>
      </c>
      <c r="AD107" s="54">
        <v>8.5894736842105264</v>
      </c>
      <c r="AE107" s="54">
        <v>2344832.086875</v>
      </c>
      <c r="AF107" s="54">
        <v>1961759.6431249999</v>
      </c>
      <c r="AG107" s="54">
        <v>408610.60666666663</v>
      </c>
      <c r="AH107" s="54">
        <v>1233064.375</v>
      </c>
      <c r="AI107" s="54">
        <v>269660.59999999998</v>
      </c>
      <c r="AJ107" s="54">
        <v>583545.26812499994</v>
      </c>
      <c r="AK107" s="54">
        <v>101783.39625000001</v>
      </c>
      <c r="AL107" s="54">
        <v>62772.184374999997</v>
      </c>
      <c r="AM107" s="54">
        <v>418989.6875</v>
      </c>
      <c r="AN107" s="54">
        <v>194819.4</v>
      </c>
      <c r="AO107" s="54">
        <v>180099.76250000001</v>
      </c>
      <c r="AP107" s="54">
        <v>209370.33333333334</v>
      </c>
      <c r="AQ107" s="54">
        <v>88074.666666666672</v>
      </c>
      <c r="AR107" s="54">
        <v>289866.16666666669</v>
      </c>
      <c r="AS107" s="54">
        <v>18873</v>
      </c>
      <c r="AT107" s="54">
        <v>194359.1</v>
      </c>
      <c r="AU107" s="54">
        <v>1300633.6666666667</v>
      </c>
      <c r="AV107" s="54">
        <v>940124.27777777775</v>
      </c>
      <c r="AW107" s="54">
        <v>2240757.9444444445</v>
      </c>
      <c r="AX107" s="54">
        <v>19.5</v>
      </c>
      <c r="AY107" s="54">
        <v>12.79</v>
      </c>
      <c r="AZ107" s="54">
        <v>8.3874999999999993</v>
      </c>
      <c r="BA107" s="54" t="s">
        <v>342</v>
      </c>
    </row>
    <row r="108" spans="1:54" x14ac:dyDescent="0.25">
      <c r="A108" s="54">
        <v>368</v>
      </c>
      <c r="B108" s="54">
        <v>2010</v>
      </c>
      <c r="C108" s="88" t="s">
        <v>80</v>
      </c>
      <c r="D108" s="54" t="s">
        <v>6</v>
      </c>
      <c r="E108" s="54" t="s">
        <v>78</v>
      </c>
      <c r="F108" s="54" t="str">
        <f>_xlfn.CONCAT(Table13[[#This Row],[Geographic Scope]],": ",Table13[[#This Row],[Sub-Type/Focus]])</f>
        <v>National: Multiple Related Topics</v>
      </c>
      <c r="G108" s="54" t="str">
        <f>_xlfn.CONCAT(Table13[[#This Row],[Geographic Scope]],": ",Table13[[#This Row],[Sub-Type/Focus]],": ",Table13[[#This Row],[Content Type]])</f>
        <v>National: Multiple Related Topics: Explanatory &amp; Analysis</v>
      </c>
      <c r="H108" s="54" t="str">
        <f>_xlfn.CONCAT(Table13[[#This Row],[Geographic Scope]],": ",Table13[[#This Row],[Content Type]])</f>
        <v>National: Explanatory &amp; Analysis</v>
      </c>
      <c r="I108" s="55">
        <v>1817479.8191304347</v>
      </c>
      <c r="J108" s="55">
        <v>1612827.7799999998</v>
      </c>
      <c r="K108" s="55">
        <v>235349.84500000006</v>
      </c>
      <c r="L108" s="54">
        <v>861863.35636363633</v>
      </c>
      <c r="M108" s="54">
        <v>201954.71666666667</v>
      </c>
      <c r="N108" s="54">
        <v>627342.51304347813</v>
      </c>
      <c r="O108" s="54">
        <v>47470.090434782614</v>
      </c>
      <c r="P108" s="54">
        <v>32657.729130434778</v>
      </c>
      <c r="Q108" s="54">
        <v>547214.69347826089</v>
      </c>
      <c r="R108" s="54">
        <v>226676.27272727274</v>
      </c>
      <c r="S108" s="54">
        <v>165261.908</v>
      </c>
      <c r="T108" s="54">
        <v>25975</v>
      </c>
      <c r="U108" s="54">
        <v>79741.2</v>
      </c>
      <c r="V108" s="54">
        <v>217480.43625</v>
      </c>
      <c r="W108" s="54">
        <v>46110.22</v>
      </c>
      <c r="X108" s="54">
        <v>33078.029166666667</v>
      </c>
      <c r="Y108" s="54">
        <v>1051833.1813043479</v>
      </c>
      <c r="Z108" s="54">
        <v>1023359.307826087</v>
      </c>
      <c r="AA108" s="54">
        <v>2075192.489130435</v>
      </c>
      <c r="AB108" s="54">
        <v>18.764583333333334</v>
      </c>
      <c r="AC108" s="54">
        <v>11.964583333333335</v>
      </c>
      <c r="AD108" s="54">
        <v>8.5894736842105264</v>
      </c>
      <c r="AE108" s="54">
        <v>2344832.086875</v>
      </c>
      <c r="AF108" s="54">
        <v>1961759.6431249999</v>
      </c>
      <c r="AG108" s="54">
        <v>408610.60666666663</v>
      </c>
      <c r="AH108" s="54">
        <v>1233064.375</v>
      </c>
      <c r="AI108" s="54">
        <v>269660.59999999998</v>
      </c>
      <c r="AJ108" s="54">
        <v>583545.26812499994</v>
      </c>
      <c r="AK108" s="54">
        <v>101783.39625000001</v>
      </c>
      <c r="AL108" s="54">
        <v>62772.184374999997</v>
      </c>
      <c r="AM108" s="54">
        <v>418989.6875</v>
      </c>
      <c r="AN108" s="54">
        <v>194819.4</v>
      </c>
      <c r="AO108" s="54">
        <v>180099.76250000001</v>
      </c>
      <c r="AP108" s="54">
        <v>209370.33333333334</v>
      </c>
      <c r="AQ108" s="54">
        <v>88074.666666666672</v>
      </c>
      <c r="AR108" s="54">
        <v>289866.16666666669</v>
      </c>
      <c r="AS108" s="54">
        <v>18873</v>
      </c>
      <c r="AT108" s="54">
        <v>194359.1</v>
      </c>
      <c r="AU108" s="54">
        <v>1300633.6666666667</v>
      </c>
      <c r="AV108" s="54">
        <v>940124.27777777775</v>
      </c>
      <c r="AW108" s="54">
        <v>2240757.9444444445</v>
      </c>
      <c r="AX108" s="54">
        <v>19.5</v>
      </c>
      <c r="AY108" s="54">
        <v>12.79</v>
      </c>
      <c r="AZ108" s="54">
        <v>8.3874999999999993</v>
      </c>
      <c r="BA108" s="54" t="s">
        <v>342</v>
      </c>
    </row>
    <row r="109" spans="1:54" x14ac:dyDescent="0.25">
      <c r="A109" s="54">
        <v>416</v>
      </c>
      <c r="B109" s="54">
        <v>1976</v>
      </c>
      <c r="C109" s="88" t="s">
        <v>80</v>
      </c>
      <c r="D109" s="54" t="s">
        <v>6</v>
      </c>
      <c r="E109" s="54" t="s">
        <v>78</v>
      </c>
      <c r="F109" s="54" t="str">
        <f>_xlfn.CONCAT(Table13[[#This Row],[Geographic Scope]],": ",Table13[[#This Row],[Sub-Type/Focus]])</f>
        <v>National: Multiple Related Topics</v>
      </c>
      <c r="G109" s="54" t="str">
        <f>_xlfn.CONCAT(Table13[[#This Row],[Geographic Scope]],": ",Table13[[#This Row],[Sub-Type/Focus]],": ",Table13[[#This Row],[Content Type]])</f>
        <v>National: Multiple Related Topics: Explanatory &amp; Analysis</v>
      </c>
      <c r="H109" s="54" t="str">
        <f>_xlfn.CONCAT(Table13[[#This Row],[Geographic Scope]],": ",Table13[[#This Row],[Content Type]])</f>
        <v>National: Explanatory &amp; Analysis</v>
      </c>
      <c r="I109" s="55">
        <v>1817479.8191304347</v>
      </c>
      <c r="J109" s="55">
        <v>1612827.7799999998</v>
      </c>
      <c r="K109" s="55">
        <v>235349.84500000006</v>
      </c>
      <c r="L109" s="54">
        <v>861863.35636363633</v>
      </c>
      <c r="M109" s="54">
        <v>201954.71666666667</v>
      </c>
      <c r="N109" s="54">
        <v>627342.51304347813</v>
      </c>
      <c r="O109" s="54">
        <v>47470.090434782614</v>
      </c>
      <c r="P109" s="54">
        <v>32657.729130434778</v>
      </c>
      <c r="Q109" s="54">
        <v>547214.69347826089</v>
      </c>
      <c r="R109" s="54">
        <v>226676.27272727274</v>
      </c>
      <c r="S109" s="54">
        <v>165261.908</v>
      </c>
      <c r="T109" s="54">
        <v>25975</v>
      </c>
      <c r="U109" s="54">
        <v>79741.2</v>
      </c>
      <c r="V109" s="54">
        <v>217480.43625</v>
      </c>
      <c r="W109" s="54">
        <v>46110.22</v>
      </c>
      <c r="X109" s="54">
        <v>33078.029166666667</v>
      </c>
      <c r="Y109" s="54">
        <v>1051833.1813043479</v>
      </c>
      <c r="Z109" s="54">
        <v>1023359.307826087</v>
      </c>
      <c r="AA109" s="54">
        <v>2075192.489130435</v>
      </c>
      <c r="AB109" s="54">
        <v>18.764583333333334</v>
      </c>
      <c r="AC109" s="54">
        <v>11.964583333333335</v>
      </c>
      <c r="AD109" s="54">
        <v>8.5894736842105264</v>
      </c>
      <c r="AE109" s="54">
        <v>2344832.086875</v>
      </c>
      <c r="AF109" s="54">
        <v>1961759.6431249999</v>
      </c>
      <c r="AG109" s="54">
        <v>408610.60666666663</v>
      </c>
      <c r="AH109" s="54">
        <v>1233064.375</v>
      </c>
      <c r="AI109" s="54">
        <v>269660.59999999998</v>
      </c>
      <c r="AJ109" s="54">
        <v>583545.26812499994</v>
      </c>
      <c r="AK109" s="54">
        <v>101783.39625000001</v>
      </c>
      <c r="AL109" s="54">
        <v>62772.184374999997</v>
      </c>
      <c r="AM109" s="54">
        <v>418989.6875</v>
      </c>
      <c r="AN109" s="54">
        <v>194819.4</v>
      </c>
      <c r="AO109" s="54">
        <v>180099.76250000001</v>
      </c>
      <c r="AP109" s="54">
        <v>209370.33333333334</v>
      </c>
      <c r="AQ109" s="54">
        <v>88074.666666666672</v>
      </c>
      <c r="AR109" s="54">
        <v>289866.16666666669</v>
      </c>
      <c r="AS109" s="54">
        <v>18873</v>
      </c>
      <c r="AT109" s="54">
        <v>194359.1</v>
      </c>
      <c r="AU109" s="54">
        <v>1300633.6666666667</v>
      </c>
      <c r="AV109" s="54">
        <v>940124.27777777775</v>
      </c>
      <c r="AW109" s="54">
        <v>2240757.9444444445</v>
      </c>
      <c r="AX109" s="54">
        <v>19.5</v>
      </c>
      <c r="AY109" s="54">
        <v>12.79</v>
      </c>
      <c r="AZ109" s="54">
        <v>8.3874999999999993</v>
      </c>
      <c r="BA109" s="54" t="s">
        <v>343</v>
      </c>
      <c r="BB109" s="54" t="s">
        <v>372</v>
      </c>
    </row>
    <row r="110" spans="1:54" x14ac:dyDescent="0.25">
      <c r="A110" s="54">
        <v>428</v>
      </c>
      <c r="B110" s="54">
        <v>1999</v>
      </c>
      <c r="C110" s="88" t="s">
        <v>80</v>
      </c>
      <c r="D110" s="54" t="s">
        <v>6</v>
      </c>
      <c r="E110" s="54" t="s">
        <v>78</v>
      </c>
      <c r="F110" s="54" t="str">
        <f>_xlfn.CONCAT(Table13[[#This Row],[Geographic Scope]],": ",Table13[[#This Row],[Sub-Type/Focus]])</f>
        <v>National: Multiple Related Topics</v>
      </c>
      <c r="G110" s="54" t="str">
        <f>_xlfn.CONCAT(Table13[[#This Row],[Geographic Scope]],": ",Table13[[#This Row],[Sub-Type/Focus]],": ",Table13[[#This Row],[Content Type]])</f>
        <v>National: Multiple Related Topics: Explanatory &amp; Analysis</v>
      </c>
      <c r="H110" s="54" t="str">
        <f>_xlfn.CONCAT(Table13[[#This Row],[Geographic Scope]],": ",Table13[[#This Row],[Content Type]])</f>
        <v>National: Explanatory &amp; Analysis</v>
      </c>
      <c r="I110" s="55">
        <v>1817479.8191304347</v>
      </c>
      <c r="J110" s="55">
        <v>1612827.7799999998</v>
      </c>
      <c r="K110" s="55">
        <v>235349.84500000006</v>
      </c>
      <c r="L110" s="54">
        <v>861863.35636363633</v>
      </c>
      <c r="M110" s="54">
        <v>201954.71666666667</v>
      </c>
      <c r="N110" s="54">
        <v>627342.51304347813</v>
      </c>
      <c r="O110" s="54">
        <v>47470.090434782614</v>
      </c>
      <c r="P110" s="54">
        <v>32657.729130434778</v>
      </c>
      <c r="Q110" s="54">
        <v>547214.69347826089</v>
      </c>
      <c r="R110" s="54">
        <v>226676.27272727274</v>
      </c>
      <c r="S110" s="54">
        <v>165261.908</v>
      </c>
      <c r="T110" s="54">
        <v>25975</v>
      </c>
      <c r="U110" s="54">
        <v>79741.2</v>
      </c>
      <c r="V110" s="54">
        <v>217480.43625</v>
      </c>
      <c r="W110" s="54">
        <v>46110.22</v>
      </c>
      <c r="X110" s="54">
        <v>33078.029166666667</v>
      </c>
      <c r="Y110" s="54">
        <v>1051833.1813043479</v>
      </c>
      <c r="Z110" s="54">
        <v>1023359.307826087</v>
      </c>
      <c r="AA110" s="54">
        <v>2075192.489130435</v>
      </c>
      <c r="AB110" s="54">
        <v>18.764583333333334</v>
      </c>
      <c r="AC110" s="54">
        <v>11.964583333333335</v>
      </c>
      <c r="AD110" s="54">
        <v>8.5894736842105264</v>
      </c>
      <c r="AE110" s="54">
        <v>2344832.086875</v>
      </c>
      <c r="AF110" s="54">
        <v>1961759.6431249999</v>
      </c>
      <c r="AG110" s="54">
        <v>408610.60666666663</v>
      </c>
      <c r="AH110" s="54">
        <v>1233064.375</v>
      </c>
      <c r="AI110" s="54">
        <v>269660.59999999998</v>
      </c>
      <c r="AJ110" s="54">
        <v>583545.26812499994</v>
      </c>
      <c r="AK110" s="54">
        <v>101783.39625000001</v>
      </c>
      <c r="AL110" s="54">
        <v>62772.184374999997</v>
      </c>
      <c r="AM110" s="54">
        <v>418989.6875</v>
      </c>
      <c r="AN110" s="54">
        <v>194819.4</v>
      </c>
      <c r="AO110" s="54">
        <v>180099.76250000001</v>
      </c>
      <c r="AP110" s="54">
        <v>209370.33333333334</v>
      </c>
      <c r="AQ110" s="54">
        <v>88074.666666666672</v>
      </c>
      <c r="AR110" s="54">
        <v>289866.16666666669</v>
      </c>
      <c r="AS110" s="54">
        <v>18873</v>
      </c>
      <c r="AT110" s="54">
        <v>194359.1</v>
      </c>
      <c r="AU110" s="54">
        <v>1300633.6666666667</v>
      </c>
      <c r="AV110" s="54">
        <v>940124.27777777775</v>
      </c>
      <c r="AW110" s="54">
        <v>2240757.9444444445</v>
      </c>
      <c r="AX110" s="54">
        <v>19.5</v>
      </c>
      <c r="AY110" s="54">
        <v>12.79</v>
      </c>
      <c r="AZ110" s="54">
        <v>8.3874999999999993</v>
      </c>
      <c r="BA110" s="54" t="s">
        <v>343</v>
      </c>
      <c r="BB110" s="54" t="s">
        <v>372</v>
      </c>
    </row>
    <row r="111" spans="1:54" x14ac:dyDescent="0.25">
      <c r="A111" s="54">
        <v>480</v>
      </c>
      <c r="B111" s="54">
        <v>1897</v>
      </c>
      <c r="C111" s="88" t="s">
        <v>80</v>
      </c>
      <c r="D111" s="54" t="s">
        <v>6</v>
      </c>
      <c r="E111" s="54" t="s">
        <v>78</v>
      </c>
      <c r="F111" s="54" t="str">
        <f>_xlfn.CONCAT(Table13[[#This Row],[Geographic Scope]],": ",Table13[[#This Row],[Sub-Type/Focus]])</f>
        <v>National: Multiple Related Topics</v>
      </c>
      <c r="G111" s="54" t="str">
        <f>_xlfn.CONCAT(Table13[[#This Row],[Geographic Scope]],": ",Table13[[#This Row],[Sub-Type/Focus]],": ",Table13[[#This Row],[Content Type]])</f>
        <v>National: Multiple Related Topics: Explanatory &amp; Analysis</v>
      </c>
      <c r="H111" s="54" t="str">
        <f>_xlfn.CONCAT(Table13[[#This Row],[Geographic Scope]],": ",Table13[[#This Row],[Content Type]])</f>
        <v>National: Explanatory &amp; Analysis</v>
      </c>
      <c r="I111" s="55">
        <v>1817479.8191304347</v>
      </c>
      <c r="J111" s="55">
        <v>1612827.7799999998</v>
      </c>
      <c r="K111" s="55">
        <v>235349.84500000006</v>
      </c>
      <c r="L111" s="54">
        <v>861863.35636363633</v>
      </c>
      <c r="M111" s="54">
        <v>201954.71666666667</v>
      </c>
      <c r="N111" s="54">
        <v>627342.51304347813</v>
      </c>
      <c r="O111" s="54">
        <v>47470.090434782614</v>
      </c>
      <c r="P111" s="54">
        <v>32657.729130434778</v>
      </c>
      <c r="Q111" s="54">
        <v>547214.69347826089</v>
      </c>
      <c r="R111" s="54">
        <v>226676.27272727274</v>
      </c>
      <c r="S111" s="54">
        <v>165261.908</v>
      </c>
      <c r="T111" s="54">
        <v>25975</v>
      </c>
      <c r="U111" s="54">
        <v>79741.2</v>
      </c>
      <c r="V111" s="54">
        <v>217480.43625</v>
      </c>
      <c r="W111" s="54">
        <v>46110.22</v>
      </c>
      <c r="X111" s="54">
        <v>33078.029166666667</v>
      </c>
      <c r="Y111" s="54">
        <v>1051833.1813043479</v>
      </c>
      <c r="Z111" s="54">
        <v>1023359.307826087</v>
      </c>
      <c r="AA111" s="54">
        <v>2075192.489130435</v>
      </c>
      <c r="AB111" s="54">
        <v>18.764583333333334</v>
      </c>
      <c r="AC111" s="54">
        <v>11.964583333333335</v>
      </c>
      <c r="AD111" s="54">
        <v>8.5894736842105264</v>
      </c>
      <c r="AE111" s="54">
        <v>2344832.086875</v>
      </c>
      <c r="AF111" s="54">
        <v>1961759.6431249999</v>
      </c>
      <c r="AG111" s="54">
        <v>408610.60666666663</v>
      </c>
      <c r="AH111" s="54">
        <v>1233064.375</v>
      </c>
      <c r="AI111" s="54">
        <v>269660.59999999998</v>
      </c>
      <c r="AJ111" s="54">
        <v>583545.26812499994</v>
      </c>
      <c r="AK111" s="54">
        <v>101783.39625000001</v>
      </c>
      <c r="AL111" s="54">
        <v>62772.184374999997</v>
      </c>
      <c r="AM111" s="54">
        <v>418989.6875</v>
      </c>
      <c r="AN111" s="54">
        <v>194819.4</v>
      </c>
      <c r="AO111" s="54">
        <v>180099.76250000001</v>
      </c>
      <c r="AP111" s="54">
        <v>209370.33333333334</v>
      </c>
      <c r="AQ111" s="54">
        <v>88074.666666666672</v>
      </c>
      <c r="AR111" s="54">
        <v>289866.16666666669</v>
      </c>
      <c r="AS111" s="54">
        <v>18873</v>
      </c>
      <c r="AT111" s="54">
        <v>194359.1</v>
      </c>
      <c r="AU111" s="54">
        <v>1300633.6666666667</v>
      </c>
      <c r="AV111" s="54">
        <v>940124.27777777775</v>
      </c>
      <c r="AW111" s="54">
        <v>2240757.9444444445</v>
      </c>
      <c r="AX111" s="54">
        <v>19.5</v>
      </c>
      <c r="AY111" s="54">
        <v>12.79</v>
      </c>
      <c r="AZ111" s="54">
        <v>8.3874999999999993</v>
      </c>
      <c r="BA111" s="54" t="s">
        <v>342</v>
      </c>
    </row>
    <row r="112" spans="1:54" x14ac:dyDescent="0.25">
      <c r="A112" s="54">
        <v>3068</v>
      </c>
      <c r="B112" s="54">
        <v>2019</v>
      </c>
      <c r="C112" s="88" t="s">
        <v>80</v>
      </c>
      <c r="D112" s="54" t="s">
        <v>6</v>
      </c>
      <c r="E112" s="54" t="s">
        <v>78</v>
      </c>
      <c r="F112" s="54" t="str">
        <f>_xlfn.CONCAT(Table13[[#This Row],[Geographic Scope]],": ",Table13[[#This Row],[Sub-Type/Focus]])</f>
        <v>National: Multiple Related Topics</v>
      </c>
      <c r="G112" s="54" t="str">
        <f>_xlfn.CONCAT(Table13[[#This Row],[Geographic Scope]],": ",Table13[[#This Row],[Sub-Type/Focus]],": ",Table13[[#This Row],[Content Type]])</f>
        <v>National: Multiple Related Topics: Explanatory &amp; Analysis</v>
      </c>
      <c r="H112" s="54" t="str">
        <f>_xlfn.CONCAT(Table13[[#This Row],[Geographic Scope]],": ",Table13[[#This Row],[Content Type]])</f>
        <v>National: Explanatory &amp; Analysis</v>
      </c>
      <c r="I112" s="55">
        <v>1817479.8191304347</v>
      </c>
      <c r="J112" s="55">
        <v>1612827.7799999998</v>
      </c>
      <c r="K112" s="55">
        <v>235349.84500000006</v>
      </c>
      <c r="L112" s="54">
        <v>861863.35636363633</v>
      </c>
      <c r="M112" s="54">
        <v>201954.71666666667</v>
      </c>
      <c r="N112" s="54">
        <v>627342.51304347813</v>
      </c>
      <c r="O112" s="54">
        <v>47470.090434782614</v>
      </c>
      <c r="P112" s="54">
        <v>32657.729130434778</v>
      </c>
      <c r="Q112" s="54">
        <v>547214.69347826089</v>
      </c>
      <c r="R112" s="54">
        <v>226676.27272727274</v>
      </c>
      <c r="S112" s="54">
        <v>165261.908</v>
      </c>
      <c r="T112" s="54">
        <v>25975</v>
      </c>
      <c r="U112" s="54">
        <v>79741.2</v>
      </c>
      <c r="V112" s="54">
        <v>217480.43625</v>
      </c>
      <c r="W112" s="54">
        <v>46110.22</v>
      </c>
      <c r="X112" s="54">
        <v>33078.029166666667</v>
      </c>
      <c r="Y112" s="54">
        <v>1051833.1813043479</v>
      </c>
      <c r="Z112" s="54">
        <v>1023359.307826087</v>
      </c>
      <c r="AA112" s="54">
        <v>2075192.489130435</v>
      </c>
      <c r="AB112" s="54">
        <v>18.764583333333334</v>
      </c>
      <c r="AC112" s="54">
        <v>11.964583333333335</v>
      </c>
      <c r="AD112" s="54">
        <v>8.5894736842105264</v>
      </c>
      <c r="AE112" s="54">
        <v>2344832.086875</v>
      </c>
      <c r="AF112" s="54">
        <v>1961759.6431249999</v>
      </c>
      <c r="AG112" s="54">
        <v>408610.60666666663</v>
      </c>
      <c r="AH112" s="54">
        <v>1233064.375</v>
      </c>
      <c r="AI112" s="54">
        <v>269660.59999999998</v>
      </c>
      <c r="AJ112" s="54">
        <v>583545.26812499994</v>
      </c>
      <c r="AK112" s="54">
        <v>101783.39625000001</v>
      </c>
      <c r="AL112" s="54">
        <v>62772.184374999997</v>
      </c>
      <c r="AM112" s="54">
        <v>418989.6875</v>
      </c>
      <c r="AN112" s="54">
        <v>194819.4</v>
      </c>
      <c r="AO112" s="54">
        <v>180099.76250000001</v>
      </c>
      <c r="AP112" s="54">
        <v>209370.33333333334</v>
      </c>
      <c r="AQ112" s="54">
        <v>88074.666666666672</v>
      </c>
      <c r="AR112" s="54">
        <v>289866.16666666669</v>
      </c>
      <c r="AS112" s="54">
        <v>18873</v>
      </c>
      <c r="AT112" s="54">
        <v>194359.1</v>
      </c>
      <c r="AU112" s="54">
        <v>1300633.6666666667</v>
      </c>
      <c r="AV112" s="54">
        <v>940124.27777777775</v>
      </c>
      <c r="AW112" s="54">
        <v>2240757.9444444445</v>
      </c>
      <c r="AX112" s="54">
        <v>19.5</v>
      </c>
      <c r="AY112" s="54">
        <v>12.79</v>
      </c>
      <c r="AZ112" s="54">
        <v>8.3874999999999993</v>
      </c>
      <c r="BA112" s="54" t="s">
        <v>342</v>
      </c>
      <c r="BB112" s="54" t="s">
        <v>342</v>
      </c>
    </row>
    <row r="113" spans="1:54" x14ac:dyDescent="0.25">
      <c r="A113" s="54">
        <v>6805</v>
      </c>
      <c r="B113" s="54">
        <v>1996</v>
      </c>
      <c r="C113" s="88" t="s">
        <v>80</v>
      </c>
      <c r="D113" s="54" t="s">
        <v>6</v>
      </c>
      <c r="E113" s="54" t="s">
        <v>78</v>
      </c>
      <c r="F113" s="54" t="str">
        <f>_xlfn.CONCAT(Table13[[#This Row],[Geographic Scope]],": ",Table13[[#This Row],[Sub-Type/Focus]])</f>
        <v>National: Multiple Related Topics</v>
      </c>
      <c r="G113" s="54" t="str">
        <f>_xlfn.CONCAT(Table13[[#This Row],[Geographic Scope]],": ",Table13[[#This Row],[Sub-Type/Focus]],": ",Table13[[#This Row],[Content Type]])</f>
        <v>National: Multiple Related Topics: Explanatory &amp; Analysis</v>
      </c>
      <c r="H113" s="54" t="str">
        <f>_xlfn.CONCAT(Table13[[#This Row],[Geographic Scope]],": ",Table13[[#This Row],[Content Type]])</f>
        <v>National: Explanatory &amp; Analysis</v>
      </c>
      <c r="I113" s="55">
        <v>1817479.8191304347</v>
      </c>
      <c r="J113" s="55">
        <v>1612827.7799999998</v>
      </c>
      <c r="K113" s="55">
        <v>235349.84500000006</v>
      </c>
      <c r="L113" s="54">
        <v>861863.35636363633</v>
      </c>
      <c r="M113" s="54">
        <v>201954.71666666667</v>
      </c>
      <c r="N113" s="54">
        <v>627342.51304347813</v>
      </c>
      <c r="O113" s="54">
        <v>47470.090434782614</v>
      </c>
      <c r="P113" s="54">
        <v>32657.729130434778</v>
      </c>
      <c r="Q113" s="54">
        <v>547214.69347826089</v>
      </c>
      <c r="R113" s="54">
        <v>226676.27272727274</v>
      </c>
      <c r="S113" s="54">
        <v>165261.908</v>
      </c>
      <c r="T113" s="54">
        <v>25975</v>
      </c>
      <c r="U113" s="54">
        <v>79741.2</v>
      </c>
      <c r="V113" s="54">
        <v>217480.43625</v>
      </c>
      <c r="W113" s="54">
        <v>46110.22</v>
      </c>
      <c r="X113" s="54">
        <v>33078.029166666667</v>
      </c>
      <c r="Y113" s="54">
        <v>1051833.1813043479</v>
      </c>
      <c r="Z113" s="54">
        <v>1023359.307826087</v>
      </c>
      <c r="AA113" s="54">
        <v>2075192.489130435</v>
      </c>
      <c r="AB113" s="54">
        <v>18.764583333333334</v>
      </c>
      <c r="AC113" s="54">
        <v>11.964583333333335</v>
      </c>
      <c r="AD113" s="54">
        <v>8.5894736842105264</v>
      </c>
      <c r="AE113" s="54">
        <v>2344832.086875</v>
      </c>
      <c r="AF113" s="54">
        <v>1961759.6431249999</v>
      </c>
      <c r="AG113" s="54">
        <v>408610.60666666663</v>
      </c>
      <c r="AH113" s="54">
        <v>1233064.375</v>
      </c>
      <c r="AI113" s="54">
        <v>269660.59999999998</v>
      </c>
      <c r="AJ113" s="54">
        <v>583545.26812499994</v>
      </c>
      <c r="AK113" s="54">
        <v>101783.39625000001</v>
      </c>
      <c r="AL113" s="54">
        <v>62772.184374999997</v>
      </c>
      <c r="AM113" s="54">
        <v>418989.6875</v>
      </c>
      <c r="AN113" s="54">
        <v>194819.4</v>
      </c>
      <c r="AO113" s="54">
        <v>180099.76250000001</v>
      </c>
      <c r="AP113" s="54">
        <v>209370.33333333334</v>
      </c>
      <c r="AQ113" s="54">
        <v>88074.666666666672</v>
      </c>
      <c r="AR113" s="54">
        <v>289866.16666666669</v>
      </c>
      <c r="AS113" s="54">
        <v>18873</v>
      </c>
      <c r="AT113" s="54">
        <v>194359.1</v>
      </c>
      <c r="AU113" s="54">
        <v>1300633.6666666667</v>
      </c>
      <c r="AV113" s="54">
        <v>940124.27777777775</v>
      </c>
      <c r="AW113" s="54">
        <v>2240757.9444444445</v>
      </c>
      <c r="AX113" s="54">
        <v>19.5</v>
      </c>
      <c r="AY113" s="54">
        <v>12.79</v>
      </c>
      <c r="AZ113" s="54">
        <v>8.3874999999999993</v>
      </c>
      <c r="BA113" s="54" t="s">
        <v>343</v>
      </c>
      <c r="BB113" s="54" t="s">
        <v>355</v>
      </c>
    </row>
    <row r="114" spans="1:54" x14ac:dyDescent="0.25">
      <c r="A114" s="54">
        <v>6830</v>
      </c>
      <c r="B114" s="54">
        <v>2020</v>
      </c>
      <c r="C114" s="88" t="s">
        <v>80</v>
      </c>
      <c r="D114" s="54" t="s">
        <v>6</v>
      </c>
      <c r="E114" s="54" t="s">
        <v>78</v>
      </c>
      <c r="F114" s="54" t="str">
        <f>_xlfn.CONCAT(Table13[[#This Row],[Geographic Scope]],": ",Table13[[#This Row],[Sub-Type/Focus]])</f>
        <v>National: Multiple Related Topics</v>
      </c>
      <c r="G114" s="54" t="str">
        <f>_xlfn.CONCAT(Table13[[#This Row],[Geographic Scope]],": ",Table13[[#This Row],[Sub-Type/Focus]],": ",Table13[[#This Row],[Content Type]])</f>
        <v>National: Multiple Related Topics: Explanatory &amp; Analysis</v>
      </c>
      <c r="H114" s="54" t="str">
        <f>_xlfn.CONCAT(Table13[[#This Row],[Geographic Scope]],": ",Table13[[#This Row],[Content Type]])</f>
        <v>National: Explanatory &amp; Analysis</v>
      </c>
      <c r="I114" s="55">
        <v>1817479.8191304347</v>
      </c>
      <c r="J114" s="55">
        <v>1612827.7799999998</v>
      </c>
      <c r="K114" s="55">
        <v>235349.84500000006</v>
      </c>
      <c r="L114" s="54">
        <v>861863.35636363633</v>
      </c>
      <c r="M114" s="54">
        <v>201954.71666666667</v>
      </c>
      <c r="N114" s="54">
        <v>627342.51304347813</v>
      </c>
      <c r="O114" s="54">
        <v>47470.090434782614</v>
      </c>
      <c r="P114" s="54">
        <v>32657.729130434778</v>
      </c>
      <c r="Q114" s="54">
        <v>547214.69347826089</v>
      </c>
      <c r="R114" s="54">
        <v>226676.27272727274</v>
      </c>
      <c r="S114" s="54">
        <v>165261.908</v>
      </c>
      <c r="T114" s="54">
        <v>25975</v>
      </c>
      <c r="U114" s="54">
        <v>79741.2</v>
      </c>
      <c r="V114" s="54">
        <v>217480.43625</v>
      </c>
      <c r="W114" s="54">
        <v>46110.22</v>
      </c>
      <c r="X114" s="54">
        <v>33078.029166666667</v>
      </c>
      <c r="Y114" s="54">
        <v>1051833.1813043479</v>
      </c>
      <c r="Z114" s="54">
        <v>1023359.307826087</v>
      </c>
      <c r="AA114" s="54">
        <v>2075192.489130435</v>
      </c>
      <c r="AB114" s="54">
        <v>18.764583333333334</v>
      </c>
      <c r="AC114" s="54">
        <v>11.964583333333335</v>
      </c>
      <c r="AD114" s="54">
        <v>8.5894736842105264</v>
      </c>
      <c r="AE114" s="54">
        <v>2344832.086875</v>
      </c>
      <c r="AF114" s="54">
        <v>1961759.6431249999</v>
      </c>
      <c r="AG114" s="54">
        <v>408610.60666666663</v>
      </c>
      <c r="AH114" s="54">
        <v>1233064.375</v>
      </c>
      <c r="AI114" s="54">
        <v>269660.59999999998</v>
      </c>
      <c r="AJ114" s="54">
        <v>583545.26812499994</v>
      </c>
      <c r="AK114" s="54">
        <v>101783.39625000001</v>
      </c>
      <c r="AL114" s="54">
        <v>62772.184374999997</v>
      </c>
      <c r="AM114" s="54">
        <v>418989.6875</v>
      </c>
      <c r="AN114" s="54">
        <v>194819.4</v>
      </c>
      <c r="AO114" s="54">
        <v>180099.76250000001</v>
      </c>
      <c r="AP114" s="54">
        <v>209370.33333333334</v>
      </c>
      <c r="AQ114" s="54">
        <v>88074.666666666672</v>
      </c>
      <c r="AR114" s="54">
        <v>289866.16666666669</v>
      </c>
      <c r="AS114" s="54">
        <v>18873</v>
      </c>
      <c r="AT114" s="54">
        <v>194359.1</v>
      </c>
      <c r="AU114" s="54">
        <v>1300633.6666666667</v>
      </c>
      <c r="AV114" s="54">
        <v>940124.27777777775</v>
      </c>
      <c r="AW114" s="54">
        <v>2240757.9444444445</v>
      </c>
      <c r="AX114" s="54">
        <v>19.5</v>
      </c>
      <c r="AY114" s="54">
        <v>12.79</v>
      </c>
      <c r="AZ114" s="54">
        <v>8.3874999999999993</v>
      </c>
      <c r="BA114" s="54" t="s">
        <v>342</v>
      </c>
      <c r="BB114" s="54" t="s">
        <v>346</v>
      </c>
    </row>
    <row r="115" spans="1:54" x14ac:dyDescent="0.25">
      <c r="A115" s="54">
        <v>6851</v>
      </c>
      <c r="B115" s="54">
        <v>2018</v>
      </c>
      <c r="C115" s="88" t="s">
        <v>80</v>
      </c>
      <c r="D115" s="54" t="s">
        <v>6</v>
      </c>
      <c r="E115" s="54" t="s">
        <v>78</v>
      </c>
      <c r="F115" s="54" t="str">
        <f>_xlfn.CONCAT(Table13[[#This Row],[Geographic Scope]],": ",Table13[[#This Row],[Sub-Type/Focus]])</f>
        <v>National: Multiple Related Topics</v>
      </c>
      <c r="G115" s="54" t="str">
        <f>_xlfn.CONCAT(Table13[[#This Row],[Geographic Scope]],": ",Table13[[#This Row],[Sub-Type/Focus]],": ",Table13[[#This Row],[Content Type]])</f>
        <v>National: Multiple Related Topics: Explanatory &amp; Analysis</v>
      </c>
      <c r="H115" s="54" t="str">
        <f>_xlfn.CONCAT(Table13[[#This Row],[Geographic Scope]],": ",Table13[[#This Row],[Content Type]])</f>
        <v>National: Explanatory &amp; Analysis</v>
      </c>
      <c r="I115" s="55">
        <v>1817479.8191304347</v>
      </c>
      <c r="J115" s="55">
        <v>1612827.7799999998</v>
      </c>
      <c r="K115" s="55">
        <v>235349.84500000006</v>
      </c>
      <c r="L115" s="54">
        <v>861863.35636363633</v>
      </c>
      <c r="M115" s="54">
        <v>201954.71666666667</v>
      </c>
      <c r="N115" s="54">
        <v>627342.51304347813</v>
      </c>
      <c r="O115" s="54">
        <v>47470.090434782614</v>
      </c>
      <c r="P115" s="54">
        <v>32657.729130434778</v>
      </c>
      <c r="Q115" s="54">
        <v>547214.69347826089</v>
      </c>
      <c r="R115" s="54">
        <v>226676.27272727274</v>
      </c>
      <c r="S115" s="54">
        <v>165261.908</v>
      </c>
      <c r="T115" s="54">
        <v>25975</v>
      </c>
      <c r="U115" s="54">
        <v>79741.2</v>
      </c>
      <c r="V115" s="54">
        <v>217480.43625</v>
      </c>
      <c r="W115" s="54">
        <v>46110.22</v>
      </c>
      <c r="X115" s="54">
        <v>33078.029166666667</v>
      </c>
      <c r="Y115" s="54">
        <v>1051833.1813043479</v>
      </c>
      <c r="Z115" s="54">
        <v>1023359.307826087</v>
      </c>
      <c r="AA115" s="54">
        <v>2075192.489130435</v>
      </c>
      <c r="AB115" s="54">
        <v>18.764583333333334</v>
      </c>
      <c r="AC115" s="54">
        <v>11.964583333333335</v>
      </c>
      <c r="AD115" s="54">
        <v>8.5894736842105264</v>
      </c>
      <c r="AE115" s="54">
        <v>2344832.086875</v>
      </c>
      <c r="AF115" s="54">
        <v>1961759.6431249999</v>
      </c>
      <c r="AG115" s="54">
        <v>408610.60666666663</v>
      </c>
      <c r="AH115" s="54">
        <v>1233064.375</v>
      </c>
      <c r="AI115" s="54">
        <v>269660.59999999998</v>
      </c>
      <c r="AJ115" s="54">
        <v>583545.26812499994</v>
      </c>
      <c r="AK115" s="54">
        <v>101783.39625000001</v>
      </c>
      <c r="AL115" s="54">
        <v>62772.184374999997</v>
      </c>
      <c r="AM115" s="54">
        <v>418989.6875</v>
      </c>
      <c r="AN115" s="54">
        <v>194819.4</v>
      </c>
      <c r="AO115" s="54">
        <v>180099.76250000001</v>
      </c>
      <c r="AP115" s="54">
        <v>209370.33333333334</v>
      </c>
      <c r="AQ115" s="54">
        <v>88074.666666666672</v>
      </c>
      <c r="AR115" s="54">
        <v>289866.16666666669</v>
      </c>
      <c r="AS115" s="54">
        <v>18873</v>
      </c>
      <c r="AT115" s="54">
        <v>194359.1</v>
      </c>
      <c r="AU115" s="54">
        <v>1300633.6666666667</v>
      </c>
      <c r="AV115" s="54">
        <v>940124.27777777775</v>
      </c>
      <c r="AW115" s="54">
        <v>2240757.9444444445</v>
      </c>
      <c r="AX115" s="54">
        <v>19.5</v>
      </c>
      <c r="AY115" s="54">
        <v>12.79</v>
      </c>
      <c r="AZ115" s="54">
        <v>8.3874999999999993</v>
      </c>
      <c r="BA115" s="54" t="s">
        <v>342</v>
      </c>
      <c r="BB115" s="54" t="s">
        <v>349</v>
      </c>
    </row>
    <row r="116" spans="1:54" x14ac:dyDescent="0.25">
      <c r="A116" s="54">
        <v>359</v>
      </c>
      <c r="B116" s="54">
        <v>1980</v>
      </c>
      <c r="C116" s="88" t="s">
        <v>80</v>
      </c>
      <c r="D116" s="54" t="s">
        <v>6</v>
      </c>
      <c r="E116" s="54" t="s">
        <v>79</v>
      </c>
      <c r="F116" s="54" t="str">
        <f>_xlfn.CONCAT(Table13[[#This Row],[Geographic Scope]],": ",Table13[[#This Row],[Sub-Type/Focus]])</f>
        <v>National: Single-Topic</v>
      </c>
      <c r="G116" s="54" t="str">
        <f>_xlfn.CONCAT(Table13[[#This Row],[Geographic Scope]],": ",Table13[[#This Row],[Sub-Type/Focus]],": ",Table13[[#This Row],[Content Type]])</f>
        <v>National: Single-Topic: Explanatory &amp; Analysis</v>
      </c>
      <c r="H116" s="54" t="str">
        <f>_xlfn.CONCAT(Table13[[#This Row],[Geographic Scope]],": ",Table13[[#This Row],[Content Type]])</f>
        <v>National: Explanatory &amp; Analysis</v>
      </c>
      <c r="I116" s="55">
        <v>1817479.8191304347</v>
      </c>
      <c r="J116" s="55">
        <v>1612827.7799999998</v>
      </c>
      <c r="K116" s="55">
        <v>235349.84500000006</v>
      </c>
      <c r="L116" s="54">
        <v>861863.35636363633</v>
      </c>
      <c r="M116" s="54">
        <v>201954.71666666667</v>
      </c>
      <c r="N116" s="54">
        <v>627342.51304347813</v>
      </c>
      <c r="O116" s="54">
        <v>47470.090434782614</v>
      </c>
      <c r="P116" s="54">
        <v>32657.729130434778</v>
      </c>
      <c r="Q116" s="54">
        <v>547214.69347826089</v>
      </c>
      <c r="R116" s="54">
        <v>226676.27272727274</v>
      </c>
      <c r="S116" s="54">
        <v>165261.908</v>
      </c>
      <c r="T116" s="54">
        <v>25975</v>
      </c>
      <c r="U116" s="54">
        <v>79741.2</v>
      </c>
      <c r="V116" s="54">
        <v>217480.43625</v>
      </c>
      <c r="W116" s="54">
        <v>46110.22</v>
      </c>
      <c r="X116" s="54">
        <v>33078.029166666667</v>
      </c>
      <c r="Y116" s="54">
        <v>1051833.1813043479</v>
      </c>
      <c r="Z116" s="54">
        <v>1023359.307826087</v>
      </c>
      <c r="AA116" s="54">
        <v>2075192.489130435</v>
      </c>
      <c r="AB116" s="54">
        <v>18.764583333333334</v>
      </c>
      <c r="AC116" s="54">
        <v>11.964583333333335</v>
      </c>
      <c r="AD116" s="54">
        <v>8.5894736842105264</v>
      </c>
      <c r="AE116" s="54">
        <v>3277215.9824999995</v>
      </c>
      <c r="AF116" s="54">
        <v>3139098.2609999999</v>
      </c>
      <c r="AG116" s="54">
        <v>162491.43705882353</v>
      </c>
      <c r="AH116" s="54">
        <v>1593105.9355555556</v>
      </c>
      <c r="AI116" s="54">
        <v>124546.58749999999</v>
      </c>
      <c r="AJ116" s="54">
        <v>1641286.1014999999</v>
      </c>
      <c r="AK116" s="54">
        <v>725462.34050000005</v>
      </c>
      <c r="AL116" s="54">
        <v>18893.798999999999</v>
      </c>
      <c r="AM116" s="54">
        <v>896929.96200000006</v>
      </c>
      <c r="AN116" s="54">
        <v>97768.75</v>
      </c>
      <c r="AO116" s="54">
        <v>77198.87</v>
      </c>
      <c r="AP116" s="54">
        <v>205768.83333333334</v>
      </c>
      <c r="AQ116" s="54">
        <v>30288.2</v>
      </c>
      <c r="AR116" s="54">
        <v>94587.372499999998</v>
      </c>
      <c r="AS116" s="54">
        <v>18031.396000000001</v>
      </c>
      <c r="AT116" s="54">
        <v>24183.583333333332</v>
      </c>
      <c r="AU116" s="54">
        <v>1375785.7085000002</v>
      </c>
      <c r="AV116" s="54">
        <v>832988.39249999996</v>
      </c>
      <c r="AW116" s="54">
        <v>2208774.1009999998</v>
      </c>
      <c r="AX116" s="54">
        <v>18.587499999999999</v>
      </c>
      <c r="AY116" s="54">
        <v>11.3925</v>
      </c>
      <c r="AZ116" s="54">
        <v>8.4647058823529413</v>
      </c>
      <c r="BA116" s="54" t="s">
        <v>339</v>
      </c>
      <c r="BB116" s="54" t="s">
        <v>348</v>
      </c>
    </row>
    <row r="117" spans="1:54" x14ac:dyDescent="0.25">
      <c r="A117" s="54">
        <v>373</v>
      </c>
      <c r="B117" s="54">
        <v>2011</v>
      </c>
      <c r="C117" s="88" t="s">
        <v>80</v>
      </c>
      <c r="D117" s="54" t="s">
        <v>6</v>
      </c>
      <c r="E117" s="54" t="s">
        <v>79</v>
      </c>
      <c r="F117" s="54" t="str">
        <f>_xlfn.CONCAT(Table13[[#This Row],[Geographic Scope]],": ",Table13[[#This Row],[Sub-Type/Focus]])</f>
        <v>National: Single-Topic</v>
      </c>
      <c r="G117" s="54" t="str">
        <f>_xlfn.CONCAT(Table13[[#This Row],[Geographic Scope]],": ",Table13[[#This Row],[Sub-Type/Focus]],": ",Table13[[#This Row],[Content Type]])</f>
        <v>National: Single-Topic: Explanatory &amp; Analysis</v>
      </c>
      <c r="H117" s="54" t="str">
        <f>_xlfn.CONCAT(Table13[[#This Row],[Geographic Scope]],": ",Table13[[#This Row],[Content Type]])</f>
        <v>National: Explanatory &amp; Analysis</v>
      </c>
      <c r="I117" s="55">
        <v>1817479.8191304347</v>
      </c>
      <c r="J117" s="55">
        <v>1612827.7799999998</v>
      </c>
      <c r="K117" s="55">
        <v>235349.84500000006</v>
      </c>
      <c r="L117" s="54">
        <v>861863.35636363633</v>
      </c>
      <c r="M117" s="54">
        <v>201954.71666666667</v>
      </c>
      <c r="N117" s="54">
        <v>627342.51304347813</v>
      </c>
      <c r="O117" s="54">
        <v>47470.090434782614</v>
      </c>
      <c r="P117" s="54">
        <v>32657.729130434778</v>
      </c>
      <c r="Q117" s="54">
        <v>547214.69347826089</v>
      </c>
      <c r="R117" s="54">
        <v>226676.27272727274</v>
      </c>
      <c r="S117" s="54">
        <v>165261.908</v>
      </c>
      <c r="T117" s="54">
        <v>25975</v>
      </c>
      <c r="U117" s="54">
        <v>79741.2</v>
      </c>
      <c r="V117" s="54">
        <v>217480.43625</v>
      </c>
      <c r="W117" s="54">
        <v>46110.22</v>
      </c>
      <c r="X117" s="54">
        <v>33078.029166666667</v>
      </c>
      <c r="Y117" s="54">
        <v>1051833.1813043479</v>
      </c>
      <c r="Z117" s="54">
        <v>1023359.307826087</v>
      </c>
      <c r="AA117" s="54">
        <v>2075192.489130435</v>
      </c>
      <c r="AB117" s="54">
        <v>18.764583333333334</v>
      </c>
      <c r="AC117" s="54">
        <v>11.964583333333335</v>
      </c>
      <c r="AD117" s="54">
        <v>8.5894736842105264</v>
      </c>
      <c r="AE117" s="54">
        <v>3277215.9824999995</v>
      </c>
      <c r="AF117" s="54">
        <v>3139098.2609999999</v>
      </c>
      <c r="AG117" s="54">
        <v>162491.43705882353</v>
      </c>
      <c r="AH117" s="54">
        <v>1593105.9355555556</v>
      </c>
      <c r="AI117" s="54">
        <v>124546.58749999999</v>
      </c>
      <c r="AJ117" s="54">
        <v>1641286.1014999999</v>
      </c>
      <c r="AK117" s="54">
        <v>725462.34050000005</v>
      </c>
      <c r="AL117" s="54">
        <v>18893.798999999999</v>
      </c>
      <c r="AM117" s="54">
        <v>896929.96200000006</v>
      </c>
      <c r="AN117" s="54">
        <v>97768.75</v>
      </c>
      <c r="AO117" s="54">
        <v>77198.87</v>
      </c>
      <c r="AP117" s="54">
        <v>205768.83333333334</v>
      </c>
      <c r="AQ117" s="54">
        <v>30288.2</v>
      </c>
      <c r="AR117" s="54">
        <v>94587.372499999998</v>
      </c>
      <c r="AS117" s="54">
        <v>18031.396000000001</v>
      </c>
      <c r="AT117" s="54">
        <v>24183.583333333332</v>
      </c>
      <c r="AU117" s="54">
        <v>1375785.7085000002</v>
      </c>
      <c r="AV117" s="54">
        <v>832988.39249999996</v>
      </c>
      <c r="AW117" s="54">
        <v>2208774.1009999998</v>
      </c>
      <c r="AX117" s="54">
        <v>18.587499999999999</v>
      </c>
      <c r="AY117" s="54">
        <v>11.3925</v>
      </c>
      <c r="AZ117" s="54">
        <v>8.4647058823529413</v>
      </c>
      <c r="BA117" s="54" t="s">
        <v>343</v>
      </c>
      <c r="BB117" s="54" t="s">
        <v>366</v>
      </c>
    </row>
    <row r="118" spans="1:54" x14ac:dyDescent="0.25">
      <c r="A118" s="54">
        <v>379</v>
      </c>
      <c r="B118" s="54">
        <v>1999</v>
      </c>
      <c r="C118" s="88" t="s">
        <v>80</v>
      </c>
      <c r="D118" s="54" t="s">
        <v>6</v>
      </c>
      <c r="E118" s="54" t="s">
        <v>79</v>
      </c>
      <c r="F118" s="54" t="str">
        <f>_xlfn.CONCAT(Table13[[#This Row],[Geographic Scope]],": ",Table13[[#This Row],[Sub-Type/Focus]])</f>
        <v>National: Single-Topic</v>
      </c>
      <c r="G118" s="54" t="str">
        <f>_xlfn.CONCAT(Table13[[#This Row],[Geographic Scope]],": ",Table13[[#This Row],[Sub-Type/Focus]],": ",Table13[[#This Row],[Content Type]])</f>
        <v>National: Single-Topic: Explanatory &amp; Analysis</v>
      </c>
      <c r="H118" s="54" t="str">
        <f>_xlfn.CONCAT(Table13[[#This Row],[Geographic Scope]],": ",Table13[[#This Row],[Content Type]])</f>
        <v>National: Explanatory &amp; Analysis</v>
      </c>
      <c r="I118" s="55">
        <v>1817479.8191304347</v>
      </c>
      <c r="J118" s="55">
        <v>1612827.7799999998</v>
      </c>
      <c r="K118" s="55">
        <v>235349.84500000006</v>
      </c>
      <c r="L118" s="54">
        <v>861863.35636363633</v>
      </c>
      <c r="M118" s="54">
        <v>201954.71666666667</v>
      </c>
      <c r="N118" s="54">
        <v>627342.51304347813</v>
      </c>
      <c r="O118" s="54">
        <v>47470.090434782614</v>
      </c>
      <c r="P118" s="54">
        <v>32657.729130434778</v>
      </c>
      <c r="Q118" s="54">
        <v>547214.69347826089</v>
      </c>
      <c r="R118" s="54">
        <v>226676.27272727274</v>
      </c>
      <c r="S118" s="54">
        <v>165261.908</v>
      </c>
      <c r="T118" s="54">
        <v>25975</v>
      </c>
      <c r="U118" s="54">
        <v>79741.2</v>
      </c>
      <c r="V118" s="54">
        <v>217480.43625</v>
      </c>
      <c r="W118" s="54">
        <v>46110.22</v>
      </c>
      <c r="X118" s="54">
        <v>33078.029166666667</v>
      </c>
      <c r="Y118" s="54">
        <v>1051833.1813043479</v>
      </c>
      <c r="Z118" s="54">
        <v>1023359.307826087</v>
      </c>
      <c r="AA118" s="54">
        <v>2075192.489130435</v>
      </c>
      <c r="AB118" s="54">
        <v>18.764583333333334</v>
      </c>
      <c r="AC118" s="54">
        <v>11.964583333333335</v>
      </c>
      <c r="AD118" s="54">
        <v>8.5894736842105264</v>
      </c>
      <c r="AE118" s="54">
        <v>3277215.9824999995</v>
      </c>
      <c r="AF118" s="54">
        <v>3139098.2609999999</v>
      </c>
      <c r="AG118" s="54">
        <v>162491.43705882353</v>
      </c>
      <c r="AH118" s="54">
        <v>1593105.9355555556</v>
      </c>
      <c r="AI118" s="54">
        <v>124546.58749999999</v>
      </c>
      <c r="AJ118" s="54">
        <v>1641286.1014999999</v>
      </c>
      <c r="AK118" s="54">
        <v>725462.34050000005</v>
      </c>
      <c r="AL118" s="54">
        <v>18893.798999999999</v>
      </c>
      <c r="AM118" s="54">
        <v>896929.96200000006</v>
      </c>
      <c r="AN118" s="54">
        <v>97768.75</v>
      </c>
      <c r="AO118" s="54">
        <v>77198.87</v>
      </c>
      <c r="AP118" s="54">
        <v>205768.83333333334</v>
      </c>
      <c r="AQ118" s="54">
        <v>30288.2</v>
      </c>
      <c r="AR118" s="54">
        <v>94587.372499999998</v>
      </c>
      <c r="AS118" s="54">
        <v>18031.396000000001</v>
      </c>
      <c r="AT118" s="54">
        <v>24183.583333333332</v>
      </c>
      <c r="AU118" s="54">
        <v>1375785.7085000002</v>
      </c>
      <c r="AV118" s="54">
        <v>832988.39249999996</v>
      </c>
      <c r="AW118" s="54">
        <v>2208774.1009999998</v>
      </c>
      <c r="AX118" s="54">
        <v>18.587499999999999</v>
      </c>
      <c r="AY118" s="54">
        <v>11.3925</v>
      </c>
      <c r="AZ118" s="54">
        <v>8.4647058823529413</v>
      </c>
      <c r="BA118" s="54" t="s">
        <v>342</v>
      </c>
      <c r="BB118" s="54" t="s">
        <v>349</v>
      </c>
    </row>
    <row r="119" spans="1:54" x14ac:dyDescent="0.25">
      <c r="A119" s="54">
        <v>460</v>
      </c>
      <c r="B119" s="54">
        <v>2009</v>
      </c>
      <c r="C119" s="88" t="s">
        <v>80</v>
      </c>
      <c r="D119" s="54" t="s">
        <v>6</v>
      </c>
      <c r="E119" s="54" t="s">
        <v>79</v>
      </c>
      <c r="F119" s="54" t="str">
        <f>_xlfn.CONCAT(Table13[[#This Row],[Geographic Scope]],": ",Table13[[#This Row],[Sub-Type/Focus]])</f>
        <v>National: Single-Topic</v>
      </c>
      <c r="G119" s="54" t="str">
        <f>_xlfn.CONCAT(Table13[[#This Row],[Geographic Scope]],": ",Table13[[#This Row],[Sub-Type/Focus]],": ",Table13[[#This Row],[Content Type]])</f>
        <v>National: Single-Topic: Explanatory &amp; Analysis</v>
      </c>
      <c r="H119" s="54" t="str">
        <f>_xlfn.CONCAT(Table13[[#This Row],[Geographic Scope]],": ",Table13[[#This Row],[Content Type]])</f>
        <v>National: Explanatory &amp; Analysis</v>
      </c>
      <c r="I119" s="55">
        <v>1817479.8191304347</v>
      </c>
      <c r="J119" s="55">
        <v>1612827.7799999998</v>
      </c>
      <c r="K119" s="55">
        <v>235349.84500000006</v>
      </c>
      <c r="L119" s="54">
        <v>861863.35636363633</v>
      </c>
      <c r="M119" s="54">
        <v>201954.71666666667</v>
      </c>
      <c r="N119" s="54">
        <v>627342.51304347813</v>
      </c>
      <c r="O119" s="54">
        <v>47470.090434782614</v>
      </c>
      <c r="P119" s="54">
        <v>32657.729130434778</v>
      </c>
      <c r="Q119" s="54">
        <v>547214.69347826089</v>
      </c>
      <c r="R119" s="54">
        <v>226676.27272727274</v>
      </c>
      <c r="S119" s="54">
        <v>165261.908</v>
      </c>
      <c r="T119" s="54">
        <v>25975</v>
      </c>
      <c r="U119" s="54">
        <v>79741.2</v>
      </c>
      <c r="V119" s="54">
        <v>217480.43625</v>
      </c>
      <c r="W119" s="54">
        <v>46110.22</v>
      </c>
      <c r="X119" s="54">
        <v>33078.029166666667</v>
      </c>
      <c r="Y119" s="54">
        <v>1051833.1813043479</v>
      </c>
      <c r="Z119" s="54">
        <v>1023359.307826087</v>
      </c>
      <c r="AA119" s="54">
        <v>2075192.489130435</v>
      </c>
      <c r="AB119" s="54">
        <v>18.764583333333334</v>
      </c>
      <c r="AC119" s="54">
        <v>11.964583333333335</v>
      </c>
      <c r="AD119" s="54">
        <v>8.5894736842105264</v>
      </c>
      <c r="AE119" s="54">
        <v>3277215.9824999995</v>
      </c>
      <c r="AF119" s="54">
        <v>3139098.2609999999</v>
      </c>
      <c r="AG119" s="54">
        <v>162491.43705882353</v>
      </c>
      <c r="AH119" s="54">
        <v>1593105.9355555556</v>
      </c>
      <c r="AI119" s="54">
        <v>124546.58749999999</v>
      </c>
      <c r="AJ119" s="54">
        <v>1641286.1014999999</v>
      </c>
      <c r="AK119" s="54">
        <v>725462.34050000005</v>
      </c>
      <c r="AL119" s="54">
        <v>18893.798999999999</v>
      </c>
      <c r="AM119" s="54">
        <v>896929.96200000006</v>
      </c>
      <c r="AN119" s="54">
        <v>97768.75</v>
      </c>
      <c r="AO119" s="54">
        <v>77198.87</v>
      </c>
      <c r="AP119" s="54">
        <v>205768.83333333334</v>
      </c>
      <c r="AQ119" s="54">
        <v>30288.2</v>
      </c>
      <c r="AR119" s="54">
        <v>94587.372499999998</v>
      </c>
      <c r="AS119" s="54">
        <v>18031.396000000001</v>
      </c>
      <c r="AT119" s="54">
        <v>24183.583333333332</v>
      </c>
      <c r="AU119" s="54">
        <v>1375785.7085000002</v>
      </c>
      <c r="AV119" s="54">
        <v>832988.39249999996</v>
      </c>
      <c r="AW119" s="54">
        <v>2208774.1009999998</v>
      </c>
      <c r="AX119" s="54">
        <v>18.587499999999999</v>
      </c>
      <c r="AY119" s="54">
        <v>11.3925</v>
      </c>
      <c r="AZ119" s="54">
        <v>8.4647058823529413</v>
      </c>
      <c r="BA119" s="54" t="s">
        <v>339</v>
      </c>
      <c r="BB119" s="54" t="s">
        <v>346</v>
      </c>
    </row>
    <row r="120" spans="1:54" x14ac:dyDescent="0.25">
      <c r="A120" s="54">
        <v>477</v>
      </c>
      <c r="B120" s="54">
        <v>2010</v>
      </c>
      <c r="C120" s="88" t="s">
        <v>80</v>
      </c>
      <c r="D120" s="54" t="s">
        <v>6</v>
      </c>
      <c r="E120" s="54" t="s">
        <v>79</v>
      </c>
      <c r="F120" s="54" t="str">
        <f>_xlfn.CONCAT(Table13[[#This Row],[Geographic Scope]],": ",Table13[[#This Row],[Sub-Type/Focus]])</f>
        <v>National: Single-Topic</v>
      </c>
      <c r="G120" s="54" t="str">
        <f>_xlfn.CONCAT(Table13[[#This Row],[Geographic Scope]],": ",Table13[[#This Row],[Sub-Type/Focus]],": ",Table13[[#This Row],[Content Type]])</f>
        <v>National: Single-Topic: Explanatory &amp; Analysis</v>
      </c>
      <c r="H120" s="54" t="str">
        <f>_xlfn.CONCAT(Table13[[#This Row],[Geographic Scope]],": ",Table13[[#This Row],[Content Type]])</f>
        <v>National: Explanatory &amp; Analysis</v>
      </c>
      <c r="I120" s="55">
        <v>1817479.8191304347</v>
      </c>
      <c r="J120" s="55">
        <v>1612827.7799999998</v>
      </c>
      <c r="K120" s="55">
        <v>235349.84500000006</v>
      </c>
      <c r="L120" s="54">
        <v>861863.35636363633</v>
      </c>
      <c r="M120" s="54">
        <v>201954.71666666667</v>
      </c>
      <c r="N120" s="54">
        <v>627342.51304347813</v>
      </c>
      <c r="O120" s="54">
        <v>47470.090434782614</v>
      </c>
      <c r="P120" s="54">
        <v>32657.729130434778</v>
      </c>
      <c r="Q120" s="54">
        <v>547214.69347826089</v>
      </c>
      <c r="R120" s="54">
        <v>226676.27272727274</v>
      </c>
      <c r="S120" s="54">
        <v>165261.908</v>
      </c>
      <c r="T120" s="54">
        <v>25975</v>
      </c>
      <c r="U120" s="54">
        <v>79741.2</v>
      </c>
      <c r="V120" s="54">
        <v>217480.43625</v>
      </c>
      <c r="W120" s="54">
        <v>46110.22</v>
      </c>
      <c r="X120" s="54">
        <v>33078.029166666667</v>
      </c>
      <c r="Y120" s="54">
        <v>1051833.1813043479</v>
      </c>
      <c r="Z120" s="54">
        <v>1023359.307826087</v>
      </c>
      <c r="AA120" s="54">
        <v>2075192.489130435</v>
      </c>
      <c r="AB120" s="54">
        <v>18.764583333333334</v>
      </c>
      <c r="AC120" s="54">
        <v>11.964583333333335</v>
      </c>
      <c r="AD120" s="54">
        <v>8.5894736842105264</v>
      </c>
      <c r="AE120" s="54">
        <v>3277215.9824999995</v>
      </c>
      <c r="AF120" s="54">
        <v>3139098.2609999999</v>
      </c>
      <c r="AG120" s="54">
        <v>162491.43705882353</v>
      </c>
      <c r="AH120" s="54">
        <v>1593105.9355555556</v>
      </c>
      <c r="AI120" s="54">
        <v>124546.58749999999</v>
      </c>
      <c r="AJ120" s="54">
        <v>1641286.1014999999</v>
      </c>
      <c r="AK120" s="54">
        <v>725462.34050000005</v>
      </c>
      <c r="AL120" s="54">
        <v>18893.798999999999</v>
      </c>
      <c r="AM120" s="54">
        <v>896929.96200000006</v>
      </c>
      <c r="AN120" s="54">
        <v>97768.75</v>
      </c>
      <c r="AO120" s="54">
        <v>77198.87</v>
      </c>
      <c r="AP120" s="54">
        <v>205768.83333333334</v>
      </c>
      <c r="AQ120" s="54">
        <v>30288.2</v>
      </c>
      <c r="AR120" s="54">
        <v>94587.372499999998</v>
      </c>
      <c r="AS120" s="54">
        <v>18031.396000000001</v>
      </c>
      <c r="AT120" s="54">
        <v>24183.583333333332</v>
      </c>
      <c r="AU120" s="54">
        <v>1375785.7085000002</v>
      </c>
      <c r="AV120" s="54">
        <v>832988.39249999996</v>
      </c>
      <c r="AW120" s="54">
        <v>2208774.1009999998</v>
      </c>
      <c r="AX120" s="54">
        <v>18.587499999999999</v>
      </c>
      <c r="AY120" s="54">
        <v>11.3925</v>
      </c>
      <c r="AZ120" s="54">
        <v>8.4647058823529413</v>
      </c>
      <c r="BA120" s="54" t="s">
        <v>342</v>
      </c>
    </row>
    <row r="121" spans="1:54" x14ac:dyDescent="0.25">
      <c r="A121" s="54">
        <v>491</v>
      </c>
      <c r="B121" s="54">
        <v>2015</v>
      </c>
      <c r="C121" s="88" t="s">
        <v>80</v>
      </c>
      <c r="D121" s="54" t="s">
        <v>6</v>
      </c>
      <c r="E121" s="54" t="s">
        <v>79</v>
      </c>
      <c r="F121" s="54" t="str">
        <f>_xlfn.CONCAT(Table13[[#This Row],[Geographic Scope]],": ",Table13[[#This Row],[Sub-Type/Focus]])</f>
        <v>National: Single-Topic</v>
      </c>
      <c r="G121" s="54" t="str">
        <f>_xlfn.CONCAT(Table13[[#This Row],[Geographic Scope]],": ",Table13[[#This Row],[Sub-Type/Focus]],": ",Table13[[#This Row],[Content Type]])</f>
        <v>National: Single-Topic: Explanatory &amp; Analysis</v>
      </c>
      <c r="H121" s="54" t="str">
        <f>_xlfn.CONCAT(Table13[[#This Row],[Geographic Scope]],": ",Table13[[#This Row],[Content Type]])</f>
        <v>National: Explanatory &amp; Analysis</v>
      </c>
      <c r="I121" s="55">
        <v>1817479.8191304347</v>
      </c>
      <c r="J121" s="55">
        <v>1612827.7799999998</v>
      </c>
      <c r="K121" s="55">
        <v>235349.84500000006</v>
      </c>
      <c r="L121" s="54">
        <v>861863.35636363633</v>
      </c>
      <c r="M121" s="54">
        <v>201954.71666666667</v>
      </c>
      <c r="N121" s="54">
        <v>627342.51304347813</v>
      </c>
      <c r="O121" s="54">
        <v>47470.090434782614</v>
      </c>
      <c r="P121" s="54">
        <v>32657.729130434778</v>
      </c>
      <c r="Q121" s="54">
        <v>547214.69347826089</v>
      </c>
      <c r="R121" s="54">
        <v>226676.27272727274</v>
      </c>
      <c r="S121" s="54">
        <v>165261.908</v>
      </c>
      <c r="T121" s="54">
        <v>25975</v>
      </c>
      <c r="U121" s="54">
        <v>79741.2</v>
      </c>
      <c r="V121" s="54">
        <v>217480.43625</v>
      </c>
      <c r="W121" s="54">
        <v>46110.22</v>
      </c>
      <c r="X121" s="54">
        <v>33078.029166666667</v>
      </c>
      <c r="Y121" s="54">
        <v>1051833.1813043479</v>
      </c>
      <c r="Z121" s="54">
        <v>1023359.307826087</v>
      </c>
      <c r="AA121" s="54">
        <v>2075192.489130435</v>
      </c>
      <c r="AB121" s="54">
        <v>18.764583333333334</v>
      </c>
      <c r="AC121" s="54">
        <v>11.964583333333335</v>
      </c>
      <c r="AD121" s="54">
        <v>8.5894736842105264</v>
      </c>
      <c r="AE121" s="54">
        <v>3277215.9824999995</v>
      </c>
      <c r="AF121" s="54">
        <v>3139098.2609999999</v>
      </c>
      <c r="AG121" s="54">
        <v>162491.43705882353</v>
      </c>
      <c r="AH121" s="54">
        <v>1593105.9355555556</v>
      </c>
      <c r="AI121" s="54">
        <v>124546.58749999999</v>
      </c>
      <c r="AJ121" s="54">
        <v>1641286.1014999999</v>
      </c>
      <c r="AK121" s="54">
        <v>725462.34050000005</v>
      </c>
      <c r="AL121" s="54">
        <v>18893.798999999999</v>
      </c>
      <c r="AM121" s="54">
        <v>896929.96200000006</v>
      </c>
      <c r="AN121" s="54">
        <v>97768.75</v>
      </c>
      <c r="AO121" s="54">
        <v>77198.87</v>
      </c>
      <c r="AP121" s="54">
        <v>205768.83333333334</v>
      </c>
      <c r="AQ121" s="54">
        <v>30288.2</v>
      </c>
      <c r="AR121" s="54">
        <v>94587.372499999998</v>
      </c>
      <c r="AS121" s="54">
        <v>18031.396000000001</v>
      </c>
      <c r="AT121" s="54">
        <v>24183.583333333332</v>
      </c>
      <c r="AU121" s="54">
        <v>1375785.7085000002</v>
      </c>
      <c r="AV121" s="54">
        <v>832988.39249999996</v>
      </c>
      <c r="AW121" s="54">
        <v>2208774.1009999998</v>
      </c>
      <c r="AX121" s="54">
        <v>18.587499999999999</v>
      </c>
      <c r="AY121" s="54">
        <v>11.3925</v>
      </c>
      <c r="AZ121" s="54">
        <v>8.4647058823529413</v>
      </c>
      <c r="BA121" s="54" t="s">
        <v>342</v>
      </c>
      <c r="BB121" s="54" t="s">
        <v>359</v>
      </c>
    </row>
    <row r="122" spans="1:54" x14ac:dyDescent="0.25">
      <c r="A122" s="54">
        <v>495</v>
      </c>
      <c r="B122" s="54">
        <v>2015</v>
      </c>
      <c r="C122" s="88" t="s">
        <v>80</v>
      </c>
      <c r="D122" s="54" t="s">
        <v>6</v>
      </c>
      <c r="E122" s="54" t="s">
        <v>79</v>
      </c>
      <c r="F122" s="54" t="str">
        <f>_xlfn.CONCAT(Table13[[#This Row],[Geographic Scope]],": ",Table13[[#This Row],[Sub-Type/Focus]])</f>
        <v>National: Single-Topic</v>
      </c>
      <c r="G122" s="54" t="str">
        <f>_xlfn.CONCAT(Table13[[#This Row],[Geographic Scope]],": ",Table13[[#This Row],[Sub-Type/Focus]],": ",Table13[[#This Row],[Content Type]])</f>
        <v>National: Single-Topic: Explanatory &amp; Analysis</v>
      </c>
      <c r="H122" s="54" t="str">
        <f>_xlfn.CONCAT(Table13[[#This Row],[Geographic Scope]],": ",Table13[[#This Row],[Content Type]])</f>
        <v>National: Explanatory &amp; Analysis</v>
      </c>
      <c r="I122" s="55">
        <v>1817479.8191304347</v>
      </c>
      <c r="J122" s="55">
        <v>1612827.7799999998</v>
      </c>
      <c r="K122" s="55">
        <v>235349.84500000006</v>
      </c>
      <c r="L122" s="54">
        <v>861863.35636363633</v>
      </c>
      <c r="M122" s="54">
        <v>201954.71666666667</v>
      </c>
      <c r="N122" s="54">
        <v>627342.51304347813</v>
      </c>
      <c r="O122" s="54">
        <v>47470.090434782614</v>
      </c>
      <c r="P122" s="54">
        <v>32657.729130434778</v>
      </c>
      <c r="Q122" s="54">
        <v>547214.69347826089</v>
      </c>
      <c r="R122" s="54">
        <v>226676.27272727274</v>
      </c>
      <c r="S122" s="54">
        <v>165261.908</v>
      </c>
      <c r="T122" s="54">
        <v>25975</v>
      </c>
      <c r="U122" s="54">
        <v>79741.2</v>
      </c>
      <c r="V122" s="54">
        <v>217480.43625</v>
      </c>
      <c r="W122" s="54">
        <v>46110.22</v>
      </c>
      <c r="X122" s="54">
        <v>33078.029166666667</v>
      </c>
      <c r="Y122" s="54">
        <v>1051833.1813043479</v>
      </c>
      <c r="Z122" s="54">
        <v>1023359.307826087</v>
      </c>
      <c r="AA122" s="54">
        <v>2075192.489130435</v>
      </c>
      <c r="AB122" s="54">
        <v>18.764583333333334</v>
      </c>
      <c r="AC122" s="54">
        <v>11.964583333333335</v>
      </c>
      <c r="AD122" s="54">
        <v>8.5894736842105264</v>
      </c>
      <c r="AE122" s="54">
        <v>3277215.9824999995</v>
      </c>
      <c r="AF122" s="54">
        <v>3139098.2609999999</v>
      </c>
      <c r="AG122" s="54">
        <v>162491.43705882353</v>
      </c>
      <c r="AH122" s="54">
        <v>1593105.9355555556</v>
      </c>
      <c r="AI122" s="54">
        <v>124546.58749999999</v>
      </c>
      <c r="AJ122" s="54">
        <v>1641286.1014999999</v>
      </c>
      <c r="AK122" s="54">
        <v>725462.34050000005</v>
      </c>
      <c r="AL122" s="54">
        <v>18893.798999999999</v>
      </c>
      <c r="AM122" s="54">
        <v>896929.96200000006</v>
      </c>
      <c r="AN122" s="54">
        <v>97768.75</v>
      </c>
      <c r="AO122" s="54">
        <v>77198.87</v>
      </c>
      <c r="AP122" s="54">
        <v>205768.83333333334</v>
      </c>
      <c r="AQ122" s="54">
        <v>30288.2</v>
      </c>
      <c r="AR122" s="54">
        <v>94587.372499999998</v>
      </c>
      <c r="AS122" s="54">
        <v>18031.396000000001</v>
      </c>
      <c r="AT122" s="54">
        <v>24183.583333333332</v>
      </c>
      <c r="AU122" s="54">
        <v>1375785.7085000002</v>
      </c>
      <c r="AV122" s="54">
        <v>832988.39249999996</v>
      </c>
      <c r="AW122" s="54">
        <v>2208774.1009999998</v>
      </c>
      <c r="AX122" s="54">
        <v>18.587499999999999</v>
      </c>
      <c r="AY122" s="54">
        <v>11.3925</v>
      </c>
      <c r="AZ122" s="54">
        <v>8.4647058823529413</v>
      </c>
      <c r="BA122" s="54" t="s">
        <v>342</v>
      </c>
      <c r="BB122" s="54" t="s">
        <v>346</v>
      </c>
    </row>
    <row r="123" spans="1:54" x14ac:dyDescent="0.25">
      <c r="A123" s="54">
        <v>497</v>
      </c>
      <c r="B123" s="54">
        <v>2016</v>
      </c>
      <c r="C123" s="88" t="s">
        <v>80</v>
      </c>
      <c r="D123" s="54" t="s">
        <v>6</v>
      </c>
      <c r="E123" s="54" t="s">
        <v>79</v>
      </c>
      <c r="F123" s="54" t="str">
        <f>_xlfn.CONCAT(Table13[[#This Row],[Geographic Scope]],": ",Table13[[#This Row],[Sub-Type/Focus]])</f>
        <v>National: Single-Topic</v>
      </c>
      <c r="G123" s="54" t="str">
        <f>_xlfn.CONCAT(Table13[[#This Row],[Geographic Scope]],": ",Table13[[#This Row],[Sub-Type/Focus]],": ",Table13[[#This Row],[Content Type]])</f>
        <v>National: Single-Topic: Explanatory &amp; Analysis</v>
      </c>
      <c r="H123" s="54" t="str">
        <f>_xlfn.CONCAT(Table13[[#This Row],[Geographic Scope]],": ",Table13[[#This Row],[Content Type]])</f>
        <v>National: Explanatory &amp; Analysis</v>
      </c>
      <c r="I123" s="55">
        <v>1817479.8191304347</v>
      </c>
      <c r="J123" s="55">
        <v>1612827.7799999998</v>
      </c>
      <c r="K123" s="55">
        <v>235349.84500000006</v>
      </c>
      <c r="L123" s="54">
        <v>861863.35636363633</v>
      </c>
      <c r="M123" s="54">
        <v>201954.71666666667</v>
      </c>
      <c r="N123" s="54">
        <v>627342.51304347813</v>
      </c>
      <c r="O123" s="54">
        <v>47470.090434782614</v>
      </c>
      <c r="P123" s="54">
        <v>32657.729130434778</v>
      </c>
      <c r="Q123" s="54">
        <v>547214.69347826089</v>
      </c>
      <c r="R123" s="54">
        <v>226676.27272727274</v>
      </c>
      <c r="S123" s="54">
        <v>165261.908</v>
      </c>
      <c r="T123" s="54">
        <v>25975</v>
      </c>
      <c r="U123" s="54">
        <v>79741.2</v>
      </c>
      <c r="V123" s="54">
        <v>217480.43625</v>
      </c>
      <c r="W123" s="54">
        <v>46110.22</v>
      </c>
      <c r="X123" s="54">
        <v>33078.029166666667</v>
      </c>
      <c r="Y123" s="54">
        <v>1051833.1813043479</v>
      </c>
      <c r="Z123" s="54">
        <v>1023359.307826087</v>
      </c>
      <c r="AA123" s="54">
        <v>2075192.489130435</v>
      </c>
      <c r="AB123" s="54">
        <v>18.764583333333334</v>
      </c>
      <c r="AC123" s="54">
        <v>11.964583333333335</v>
      </c>
      <c r="AD123" s="54">
        <v>8.5894736842105264</v>
      </c>
      <c r="AE123" s="54">
        <v>3277215.9824999995</v>
      </c>
      <c r="AF123" s="54">
        <v>3139098.2609999999</v>
      </c>
      <c r="AG123" s="54">
        <v>162491.43705882353</v>
      </c>
      <c r="AH123" s="54">
        <v>1593105.9355555556</v>
      </c>
      <c r="AI123" s="54">
        <v>124546.58749999999</v>
      </c>
      <c r="AJ123" s="54">
        <v>1641286.1014999999</v>
      </c>
      <c r="AK123" s="54">
        <v>725462.34050000005</v>
      </c>
      <c r="AL123" s="54">
        <v>18893.798999999999</v>
      </c>
      <c r="AM123" s="54">
        <v>896929.96200000006</v>
      </c>
      <c r="AN123" s="54">
        <v>97768.75</v>
      </c>
      <c r="AO123" s="54">
        <v>77198.87</v>
      </c>
      <c r="AP123" s="54">
        <v>205768.83333333334</v>
      </c>
      <c r="AQ123" s="54">
        <v>30288.2</v>
      </c>
      <c r="AR123" s="54">
        <v>94587.372499999998</v>
      </c>
      <c r="AS123" s="54">
        <v>18031.396000000001</v>
      </c>
      <c r="AT123" s="54">
        <v>24183.583333333332</v>
      </c>
      <c r="AU123" s="54">
        <v>1375785.7085000002</v>
      </c>
      <c r="AV123" s="54">
        <v>832988.39249999996</v>
      </c>
      <c r="AW123" s="54">
        <v>2208774.1009999998</v>
      </c>
      <c r="AX123" s="54">
        <v>18.587499999999999</v>
      </c>
      <c r="AY123" s="54">
        <v>11.3925</v>
      </c>
      <c r="AZ123" s="54">
        <v>8.4647058823529413</v>
      </c>
      <c r="BA123" s="54" t="s">
        <v>342</v>
      </c>
    </row>
    <row r="124" spans="1:54" x14ac:dyDescent="0.25">
      <c r="A124" s="54">
        <v>2906</v>
      </c>
      <c r="B124" s="54">
        <v>2019</v>
      </c>
      <c r="C124" s="88" t="s">
        <v>80</v>
      </c>
      <c r="D124" s="54" t="s">
        <v>6</v>
      </c>
      <c r="E124" s="54" t="s">
        <v>79</v>
      </c>
      <c r="F124" s="54" t="str">
        <f>_xlfn.CONCAT(Table13[[#This Row],[Geographic Scope]],": ",Table13[[#This Row],[Sub-Type/Focus]])</f>
        <v>National: Single-Topic</v>
      </c>
      <c r="G124" s="54" t="str">
        <f>_xlfn.CONCAT(Table13[[#This Row],[Geographic Scope]],": ",Table13[[#This Row],[Sub-Type/Focus]],": ",Table13[[#This Row],[Content Type]])</f>
        <v>National: Single-Topic: Explanatory &amp; Analysis</v>
      </c>
      <c r="H124" s="54" t="str">
        <f>_xlfn.CONCAT(Table13[[#This Row],[Geographic Scope]],": ",Table13[[#This Row],[Content Type]])</f>
        <v>National: Explanatory &amp; Analysis</v>
      </c>
      <c r="I124" s="55">
        <v>1817479.8191304347</v>
      </c>
      <c r="J124" s="55">
        <v>1612827.7799999998</v>
      </c>
      <c r="K124" s="55">
        <v>235349.84500000006</v>
      </c>
      <c r="L124" s="54">
        <v>861863.35636363633</v>
      </c>
      <c r="M124" s="54">
        <v>201954.71666666667</v>
      </c>
      <c r="N124" s="54">
        <v>627342.51304347813</v>
      </c>
      <c r="O124" s="54">
        <v>47470.090434782614</v>
      </c>
      <c r="P124" s="54">
        <v>32657.729130434778</v>
      </c>
      <c r="Q124" s="54">
        <v>547214.69347826089</v>
      </c>
      <c r="R124" s="54">
        <v>226676.27272727274</v>
      </c>
      <c r="S124" s="54">
        <v>165261.908</v>
      </c>
      <c r="T124" s="54">
        <v>25975</v>
      </c>
      <c r="U124" s="54">
        <v>79741.2</v>
      </c>
      <c r="V124" s="54">
        <v>217480.43625</v>
      </c>
      <c r="W124" s="54">
        <v>46110.22</v>
      </c>
      <c r="X124" s="54">
        <v>33078.029166666667</v>
      </c>
      <c r="Y124" s="54">
        <v>1051833.1813043479</v>
      </c>
      <c r="Z124" s="54">
        <v>1023359.307826087</v>
      </c>
      <c r="AA124" s="54">
        <v>2075192.489130435</v>
      </c>
      <c r="AB124" s="54">
        <v>18.764583333333334</v>
      </c>
      <c r="AC124" s="54">
        <v>11.964583333333335</v>
      </c>
      <c r="AD124" s="54">
        <v>8.5894736842105264</v>
      </c>
      <c r="AE124" s="54">
        <v>3277215.9824999995</v>
      </c>
      <c r="AF124" s="54">
        <v>3139098.2609999999</v>
      </c>
      <c r="AG124" s="54">
        <v>162491.43705882353</v>
      </c>
      <c r="AH124" s="54">
        <v>1593105.9355555556</v>
      </c>
      <c r="AI124" s="54">
        <v>124546.58749999999</v>
      </c>
      <c r="AJ124" s="54">
        <v>1641286.1014999999</v>
      </c>
      <c r="AK124" s="54">
        <v>725462.34050000005</v>
      </c>
      <c r="AL124" s="54">
        <v>18893.798999999999</v>
      </c>
      <c r="AM124" s="54">
        <v>896929.96200000006</v>
      </c>
      <c r="AN124" s="54">
        <v>97768.75</v>
      </c>
      <c r="AO124" s="54">
        <v>77198.87</v>
      </c>
      <c r="AP124" s="54">
        <v>205768.83333333334</v>
      </c>
      <c r="AQ124" s="54">
        <v>30288.2</v>
      </c>
      <c r="AR124" s="54">
        <v>94587.372499999998</v>
      </c>
      <c r="AS124" s="54">
        <v>18031.396000000001</v>
      </c>
      <c r="AT124" s="54">
        <v>24183.583333333332</v>
      </c>
      <c r="AU124" s="54">
        <v>1375785.7085000002</v>
      </c>
      <c r="AV124" s="54">
        <v>832988.39249999996</v>
      </c>
      <c r="AW124" s="54">
        <v>2208774.1009999998</v>
      </c>
      <c r="AX124" s="54">
        <v>18.587499999999999</v>
      </c>
      <c r="AY124" s="54">
        <v>11.3925</v>
      </c>
      <c r="AZ124" s="54">
        <v>8.4647058823529413</v>
      </c>
      <c r="BA124" s="54" t="s">
        <v>342</v>
      </c>
    </row>
    <row r="125" spans="1:54" x14ac:dyDescent="0.25">
      <c r="A125" s="54">
        <v>2917</v>
      </c>
      <c r="B125" s="54">
        <v>2019</v>
      </c>
      <c r="C125" s="88" t="s">
        <v>80</v>
      </c>
      <c r="D125" s="54" t="s">
        <v>6</v>
      </c>
      <c r="E125" s="54" t="s">
        <v>79</v>
      </c>
      <c r="F125" s="54" t="str">
        <f>_xlfn.CONCAT(Table13[[#This Row],[Geographic Scope]],": ",Table13[[#This Row],[Sub-Type/Focus]])</f>
        <v>National: Single-Topic</v>
      </c>
      <c r="G125" s="54" t="str">
        <f>_xlfn.CONCAT(Table13[[#This Row],[Geographic Scope]],": ",Table13[[#This Row],[Sub-Type/Focus]],": ",Table13[[#This Row],[Content Type]])</f>
        <v>National: Single-Topic: Explanatory &amp; Analysis</v>
      </c>
      <c r="H125" s="54" t="str">
        <f>_xlfn.CONCAT(Table13[[#This Row],[Geographic Scope]],": ",Table13[[#This Row],[Content Type]])</f>
        <v>National: Explanatory &amp; Analysis</v>
      </c>
      <c r="I125" s="55">
        <v>1817479.8191304347</v>
      </c>
      <c r="J125" s="55">
        <v>1612827.7799999998</v>
      </c>
      <c r="K125" s="55">
        <v>235349.84500000006</v>
      </c>
      <c r="L125" s="54">
        <v>861863.35636363633</v>
      </c>
      <c r="M125" s="54">
        <v>201954.71666666667</v>
      </c>
      <c r="N125" s="54">
        <v>627342.51304347813</v>
      </c>
      <c r="O125" s="54">
        <v>47470.090434782614</v>
      </c>
      <c r="P125" s="54">
        <v>32657.729130434778</v>
      </c>
      <c r="Q125" s="54">
        <v>547214.69347826089</v>
      </c>
      <c r="R125" s="54">
        <v>226676.27272727274</v>
      </c>
      <c r="S125" s="54">
        <v>165261.908</v>
      </c>
      <c r="T125" s="54">
        <v>25975</v>
      </c>
      <c r="U125" s="54">
        <v>79741.2</v>
      </c>
      <c r="V125" s="54">
        <v>217480.43625</v>
      </c>
      <c r="W125" s="54">
        <v>46110.22</v>
      </c>
      <c r="X125" s="54">
        <v>33078.029166666667</v>
      </c>
      <c r="Y125" s="54">
        <v>1051833.1813043479</v>
      </c>
      <c r="Z125" s="54">
        <v>1023359.307826087</v>
      </c>
      <c r="AA125" s="54">
        <v>2075192.489130435</v>
      </c>
      <c r="AB125" s="54">
        <v>18.764583333333334</v>
      </c>
      <c r="AC125" s="54">
        <v>11.964583333333335</v>
      </c>
      <c r="AD125" s="54">
        <v>8.5894736842105264</v>
      </c>
      <c r="AE125" s="54">
        <v>3277215.9824999995</v>
      </c>
      <c r="AF125" s="54">
        <v>3139098.2609999999</v>
      </c>
      <c r="AG125" s="54">
        <v>162491.43705882353</v>
      </c>
      <c r="AH125" s="54">
        <v>1593105.9355555556</v>
      </c>
      <c r="AI125" s="54">
        <v>124546.58749999999</v>
      </c>
      <c r="AJ125" s="54">
        <v>1641286.1014999999</v>
      </c>
      <c r="AK125" s="54">
        <v>725462.34050000005</v>
      </c>
      <c r="AL125" s="54">
        <v>18893.798999999999</v>
      </c>
      <c r="AM125" s="54">
        <v>896929.96200000006</v>
      </c>
      <c r="AN125" s="54">
        <v>97768.75</v>
      </c>
      <c r="AO125" s="54">
        <v>77198.87</v>
      </c>
      <c r="AP125" s="54">
        <v>205768.83333333334</v>
      </c>
      <c r="AQ125" s="54">
        <v>30288.2</v>
      </c>
      <c r="AR125" s="54">
        <v>94587.372499999998</v>
      </c>
      <c r="AS125" s="54">
        <v>18031.396000000001</v>
      </c>
      <c r="AT125" s="54">
        <v>24183.583333333332</v>
      </c>
      <c r="AU125" s="54">
        <v>1375785.7085000002</v>
      </c>
      <c r="AV125" s="54">
        <v>832988.39249999996</v>
      </c>
      <c r="AW125" s="54">
        <v>2208774.1009999998</v>
      </c>
      <c r="AX125" s="54">
        <v>18.587499999999999</v>
      </c>
      <c r="AY125" s="54">
        <v>11.3925</v>
      </c>
      <c r="AZ125" s="54">
        <v>8.4647058823529413</v>
      </c>
      <c r="BA125" s="54" t="s">
        <v>342</v>
      </c>
    </row>
    <row r="126" spans="1:54" x14ac:dyDescent="0.25">
      <c r="A126" s="54">
        <v>6804</v>
      </c>
      <c r="B126" s="54">
        <v>2018</v>
      </c>
      <c r="C126" s="88" t="s">
        <v>80</v>
      </c>
      <c r="D126" s="54" t="s">
        <v>6</v>
      </c>
      <c r="E126" s="54" t="s">
        <v>79</v>
      </c>
      <c r="F126" s="54" t="str">
        <f>_xlfn.CONCAT(Table13[[#This Row],[Geographic Scope]],": ",Table13[[#This Row],[Sub-Type/Focus]])</f>
        <v>National: Single-Topic</v>
      </c>
      <c r="G126" s="54" t="str">
        <f>_xlfn.CONCAT(Table13[[#This Row],[Geographic Scope]],": ",Table13[[#This Row],[Sub-Type/Focus]],": ",Table13[[#This Row],[Content Type]])</f>
        <v>National: Single-Topic: Explanatory &amp; Analysis</v>
      </c>
      <c r="H126" s="54" t="str">
        <f>_xlfn.CONCAT(Table13[[#This Row],[Geographic Scope]],": ",Table13[[#This Row],[Content Type]])</f>
        <v>National: Explanatory &amp; Analysis</v>
      </c>
      <c r="I126" s="55">
        <v>1817479.8191304347</v>
      </c>
      <c r="J126" s="55">
        <v>1612827.7799999998</v>
      </c>
      <c r="K126" s="55">
        <v>235349.84500000006</v>
      </c>
      <c r="L126" s="54">
        <v>861863.35636363633</v>
      </c>
      <c r="M126" s="54">
        <v>201954.71666666667</v>
      </c>
      <c r="N126" s="54">
        <v>627342.51304347813</v>
      </c>
      <c r="O126" s="54">
        <v>47470.090434782614</v>
      </c>
      <c r="P126" s="54">
        <v>32657.729130434778</v>
      </c>
      <c r="Q126" s="54">
        <v>547214.69347826089</v>
      </c>
      <c r="R126" s="54">
        <v>226676.27272727274</v>
      </c>
      <c r="S126" s="54">
        <v>165261.908</v>
      </c>
      <c r="T126" s="54">
        <v>25975</v>
      </c>
      <c r="U126" s="54">
        <v>79741.2</v>
      </c>
      <c r="V126" s="54">
        <v>217480.43625</v>
      </c>
      <c r="W126" s="54">
        <v>46110.22</v>
      </c>
      <c r="X126" s="54">
        <v>33078.029166666667</v>
      </c>
      <c r="Y126" s="54">
        <v>1051833.1813043479</v>
      </c>
      <c r="Z126" s="54">
        <v>1023359.307826087</v>
      </c>
      <c r="AA126" s="54">
        <v>2075192.489130435</v>
      </c>
      <c r="AB126" s="54">
        <v>18.764583333333334</v>
      </c>
      <c r="AC126" s="54">
        <v>11.964583333333335</v>
      </c>
      <c r="AD126" s="54">
        <v>8.5894736842105264</v>
      </c>
      <c r="AE126" s="54">
        <v>3277215.9824999995</v>
      </c>
      <c r="AF126" s="54">
        <v>3139098.2609999999</v>
      </c>
      <c r="AG126" s="54">
        <v>162491.43705882353</v>
      </c>
      <c r="AH126" s="54">
        <v>1593105.9355555556</v>
      </c>
      <c r="AI126" s="54">
        <v>124546.58749999999</v>
      </c>
      <c r="AJ126" s="54">
        <v>1641286.1014999999</v>
      </c>
      <c r="AK126" s="54">
        <v>725462.34050000005</v>
      </c>
      <c r="AL126" s="54">
        <v>18893.798999999999</v>
      </c>
      <c r="AM126" s="54">
        <v>896929.96200000006</v>
      </c>
      <c r="AN126" s="54">
        <v>97768.75</v>
      </c>
      <c r="AO126" s="54">
        <v>77198.87</v>
      </c>
      <c r="AP126" s="54">
        <v>205768.83333333334</v>
      </c>
      <c r="AQ126" s="54">
        <v>30288.2</v>
      </c>
      <c r="AR126" s="54">
        <v>94587.372499999998</v>
      </c>
      <c r="AS126" s="54">
        <v>18031.396000000001</v>
      </c>
      <c r="AT126" s="54">
        <v>24183.583333333332</v>
      </c>
      <c r="AU126" s="54">
        <v>1375785.7085000002</v>
      </c>
      <c r="AV126" s="54">
        <v>832988.39249999996</v>
      </c>
      <c r="AW126" s="54">
        <v>2208774.1009999998</v>
      </c>
      <c r="AX126" s="54">
        <v>18.587499999999999</v>
      </c>
      <c r="AY126" s="54">
        <v>11.3925</v>
      </c>
      <c r="AZ126" s="54">
        <v>8.4647058823529413</v>
      </c>
      <c r="BA126" s="54" t="s">
        <v>373</v>
      </c>
      <c r="BB126" s="54" t="s">
        <v>370</v>
      </c>
    </row>
    <row r="127" spans="1:54" x14ac:dyDescent="0.25">
      <c r="A127" s="54">
        <v>369</v>
      </c>
      <c r="B127" s="54">
        <v>2013</v>
      </c>
      <c r="C127" s="88" t="s">
        <v>81</v>
      </c>
      <c r="D127" s="54" t="s">
        <v>6</v>
      </c>
      <c r="E127" s="54" t="s">
        <v>77</v>
      </c>
      <c r="F127" s="54" t="str">
        <f>_xlfn.CONCAT(Table13[[#This Row],[Geographic Scope]],": ",Table13[[#This Row],[Sub-Type/Focus]])</f>
        <v>National: General</v>
      </c>
      <c r="G127" s="54" t="str">
        <f>_xlfn.CONCAT(Table13[[#This Row],[Geographic Scope]],": ",Table13[[#This Row],[Sub-Type/Focus]],": ",Table13[[#This Row],[Content Type]])</f>
        <v>National: General: Investigative</v>
      </c>
      <c r="H127" s="54" t="str">
        <f>_xlfn.CONCAT(Table13[[#This Row],[Geographic Scope]],": ",Table13[[#This Row],[Content Type]])</f>
        <v>National: Investigative</v>
      </c>
      <c r="I127" s="55">
        <v>4628662.2569230776</v>
      </c>
      <c r="J127" s="55">
        <v>4455683.3761538463</v>
      </c>
      <c r="K127" s="55">
        <v>187393.78750000001</v>
      </c>
      <c r="L127" s="54">
        <v>2094934.8691666666</v>
      </c>
      <c r="M127" s="54">
        <v>1156615.46</v>
      </c>
      <c r="N127" s="54">
        <v>2290264.1953846151</v>
      </c>
      <c r="O127" s="54">
        <v>1420062.1184615383</v>
      </c>
      <c r="P127" s="54">
        <v>54998.307692307695</v>
      </c>
      <c r="Q127" s="54">
        <v>815203.76923076925</v>
      </c>
      <c r="R127" s="54">
        <v>174500</v>
      </c>
      <c r="S127" s="54">
        <v>56713.571428571428</v>
      </c>
      <c r="T127" s="54">
        <v>164065.25</v>
      </c>
      <c r="U127" s="54">
        <v>11999</v>
      </c>
      <c r="V127" s="54">
        <v>59330</v>
      </c>
      <c r="W127" s="54">
        <v>17982</v>
      </c>
      <c r="X127" s="54">
        <v>119575.27222222222</v>
      </c>
      <c r="Y127" s="54">
        <v>2726156.8</v>
      </c>
      <c r="Z127" s="54">
        <v>2143724.1333333333</v>
      </c>
      <c r="AA127" s="54">
        <v>4869880.9333333336</v>
      </c>
      <c r="AB127" s="54">
        <v>22.734375</v>
      </c>
      <c r="AC127" s="54">
        <v>17</v>
      </c>
      <c r="AD127" s="54">
        <v>7.0576923076923075</v>
      </c>
      <c r="AE127" s="54">
        <v>6765755.5837500002</v>
      </c>
      <c r="AF127" s="54">
        <v>6582097.5599999996</v>
      </c>
      <c r="AG127" s="54">
        <v>183658.02374999999</v>
      </c>
      <c r="AH127" s="54">
        <v>2649128.80375</v>
      </c>
      <c r="AI127" s="54">
        <v>1927125.92</v>
      </c>
      <c r="AJ127" s="54">
        <v>3362154.1412500003</v>
      </c>
      <c r="AK127" s="54">
        <v>993287.1050000001</v>
      </c>
      <c r="AL127" s="54">
        <v>230636.78</v>
      </c>
      <c r="AM127" s="54">
        <v>2138230.2562500001</v>
      </c>
      <c r="AN127" s="54">
        <v>527878.19999999995</v>
      </c>
      <c r="AO127" s="54">
        <v>112745.565</v>
      </c>
      <c r="AP127" s="54">
        <v>54250</v>
      </c>
      <c r="AQ127" s="54">
        <v>15504</v>
      </c>
      <c r="AR127" s="54">
        <v>25000</v>
      </c>
      <c r="AS127" s="54">
        <v>131278.33333333334</v>
      </c>
      <c r="AT127" s="54">
        <v>62487.950000000004</v>
      </c>
      <c r="AU127" s="54">
        <v>6396387.25</v>
      </c>
      <c r="AV127" s="54">
        <v>4277100.2787500005</v>
      </c>
      <c r="AW127" s="54">
        <v>10673487.528750001</v>
      </c>
      <c r="AX127" s="54">
        <v>47.625</v>
      </c>
      <c r="AY127" s="54">
        <v>39.25</v>
      </c>
      <c r="AZ127" s="54">
        <v>9.5714285714285712</v>
      </c>
      <c r="BA127" s="54" t="s">
        <v>342</v>
      </c>
      <c r="BB127" s="54" t="s">
        <v>347</v>
      </c>
    </row>
    <row r="128" spans="1:54" x14ac:dyDescent="0.25">
      <c r="A128" s="54">
        <v>476</v>
      </c>
      <c r="B128" s="54">
        <v>2014</v>
      </c>
      <c r="C128" s="88" t="s">
        <v>81</v>
      </c>
      <c r="D128" s="54" t="s">
        <v>6</v>
      </c>
      <c r="E128" s="54" t="s">
        <v>77</v>
      </c>
      <c r="F128" s="54" t="str">
        <f>_xlfn.CONCAT(Table13[[#This Row],[Geographic Scope]],": ",Table13[[#This Row],[Sub-Type/Focus]])</f>
        <v>National: General</v>
      </c>
      <c r="G128" s="54" t="str">
        <f>_xlfn.CONCAT(Table13[[#This Row],[Geographic Scope]],": ",Table13[[#This Row],[Sub-Type/Focus]],": ",Table13[[#This Row],[Content Type]])</f>
        <v>National: General: Investigative</v>
      </c>
      <c r="H128" s="54" t="str">
        <f>_xlfn.CONCAT(Table13[[#This Row],[Geographic Scope]],": ",Table13[[#This Row],[Content Type]])</f>
        <v>National: Investigative</v>
      </c>
      <c r="I128" s="55">
        <v>4628662.2569230776</v>
      </c>
      <c r="J128" s="55">
        <v>4455683.3761538463</v>
      </c>
      <c r="K128" s="55">
        <v>187393.78750000001</v>
      </c>
      <c r="L128" s="54">
        <v>2094934.8691666666</v>
      </c>
      <c r="M128" s="54">
        <v>1156615.46</v>
      </c>
      <c r="N128" s="54">
        <v>2290264.1953846151</v>
      </c>
      <c r="O128" s="54">
        <v>1420062.1184615383</v>
      </c>
      <c r="P128" s="54">
        <v>54998.307692307695</v>
      </c>
      <c r="Q128" s="54">
        <v>815203.76923076925</v>
      </c>
      <c r="R128" s="54">
        <v>174500</v>
      </c>
      <c r="S128" s="54">
        <v>56713.571428571428</v>
      </c>
      <c r="T128" s="54">
        <v>164065.25</v>
      </c>
      <c r="U128" s="54">
        <v>11999</v>
      </c>
      <c r="V128" s="54">
        <v>59330</v>
      </c>
      <c r="W128" s="54">
        <v>17982</v>
      </c>
      <c r="X128" s="54">
        <v>119575.27222222222</v>
      </c>
      <c r="Y128" s="54">
        <v>2726156.8</v>
      </c>
      <c r="Z128" s="54">
        <v>2143724.1333333333</v>
      </c>
      <c r="AA128" s="54">
        <v>4869880.9333333336</v>
      </c>
      <c r="AB128" s="54">
        <v>22.734375</v>
      </c>
      <c r="AC128" s="54">
        <v>17</v>
      </c>
      <c r="AD128" s="54">
        <v>7.0576923076923075</v>
      </c>
      <c r="AE128" s="54">
        <v>6765755.5837500002</v>
      </c>
      <c r="AF128" s="54">
        <v>6582097.5599999996</v>
      </c>
      <c r="AG128" s="54">
        <v>183658.02374999999</v>
      </c>
      <c r="AH128" s="54">
        <v>2649128.80375</v>
      </c>
      <c r="AI128" s="54">
        <v>1927125.92</v>
      </c>
      <c r="AJ128" s="54">
        <v>3362154.1412500003</v>
      </c>
      <c r="AK128" s="54">
        <v>993287.1050000001</v>
      </c>
      <c r="AL128" s="54">
        <v>230636.78</v>
      </c>
      <c r="AM128" s="54">
        <v>2138230.2562500001</v>
      </c>
      <c r="AN128" s="54">
        <v>527878.19999999995</v>
      </c>
      <c r="AO128" s="54">
        <v>112745.565</v>
      </c>
      <c r="AP128" s="54">
        <v>54250</v>
      </c>
      <c r="AQ128" s="54">
        <v>15504</v>
      </c>
      <c r="AR128" s="54">
        <v>25000</v>
      </c>
      <c r="AS128" s="54">
        <v>131278.33333333334</v>
      </c>
      <c r="AT128" s="54">
        <v>62487.950000000004</v>
      </c>
      <c r="AU128" s="54">
        <v>6396387.25</v>
      </c>
      <c r="AV128" s="54">
        <v>4277100.2787500005</v>
      </c>
      <c r="AW128" s="54">
        <v>10673487.528750001</v>
      </c>
      <c r="AX128" s="54">
        <v>47.625</v>
      </c>
      <c r="AY128" s="54">
        <v>39.25</v>
      </c>
      <c r="AZ128" s="54">
        <v>9.5714285714285712</v>
      </c>
      <c r="BA128" s="54" t="s">
        <v>342</v>
      </c>
      <c r="BB128" s="54" t="s">
        <v>347</v>
      </c>
    </row>
    <row r="129" spans="1:54" x14ac:dyDescent="0.25">
      <c r="A129" s="54">
        <v>344</v>
      </c>
      <c r="B129" s="54">
        <v>1989</v>
      </c>
      <c r="C129" s="88" t="s">
        <v>81</v>
      </c>
      <c r="D129" s="54" t="s">
        <v>6</v>
      </c>
      <c r="E129" s="54" t="s">
        <v>78</v>
      </c>
      <c r="F129" s="54" t="str">
        <f>_xlfn.CONCAT(Table13[[#This Row],[Geographic Scope]],": ",Table13[[#This Row],[Sub-Type/Focus]])</f>
        <v>National: Multiple Related Topics</v>
      </c>
      <c r="G129" s="54" t="str">
        <f>_xlfn.CONCAT(Table13[[#This Row],[Geographic Scope]],": ",Table13[[#This Row],[Sub-Type/Focus]],": ",Table13[[#This Row],[Content Type]])</f>
        <v>National: Multiple Related Topics: Investigative</v>
      </c>
      <c r="H129" s="54" t="str">
        <f>_xlfn.CONCAT(Table13[[#This Row],[Geographic Scope]],": ",Table13[[#This Row],[Content Type]])</f>
        <v>National: Investigative</v>
      </c>
      <c r="I129" s="55">
        <v>4628662.2569230776</v>
      </c>
      <c r="J129" s="55">
        <v>4455683.3761538463</v>
      </c>
      <c r="K129" s="55">
        <v>187393.78750000001</v>
      </c>
      <c r="L129" s="54">
        <v>2094934.8691666666</v>
      </c>
      <c r="M129" s="54">
        <v>1156615.46</v>
      </c>
      <c r="N129" s="54">
        <v>2290264.1953846151</v>
      </c>
      <c r="O129" s="54">
        <v>1420062.1184615383</v>
      </c>
      <c r="P129" s="54">
        <v>54998.307692307695</v>
      </c>
      <c r="Q129" s="54">
        <v>815203.76923076925</v>
      </c>
      <c r="R129" s="54">
        <v>174500</v>
      </c>
      <c r="S129" s="54">
        <v>56713.571428571428</v>
      </c>
      <c r="T129" s="54">
        <v>164065.25</v>
      </c>
      <c r="U129" s="54">
        <v>11999</v>
      </c>
      <c r="V129" s="54">
        <v>59330</v>
      </c>
      <c r="W129" s="54">
        <v>17982</v>
      </c>
      <c r="X129" s="54">
        <v>119575.27222222222</v>
      </c>
      <c r="Y129" s="54">
        <v>2726156.8</v>
      </c>
      <c r="Z129" s="54">
        <v>2143724.1333333333</v>
      </c>
      <c r="AA129" s="54">
        <v>4869880.9333333336</v>
      </c>
      <c r="AB129" s="54">
        <v>22.734375</v>
      </c>
      <c r="AC129" s="54">
        <v>17</v>
      </c>
      <c r="AD129" s="54">
        <v>7.0576923076923075</v>
      </c>
      <c r="AE129" s="54">
        <v>2344832.086875</v>
      </c>
      <c r="AF129" s="54">
        <v>1961759.6431249999</v>
      </c>
      <c r="AG129" s="54">
        <v>408610.60666666663</v>
      </c>
      <c r="AH129" s="54">
        <v>1233064.375</v>
      </c>
      <c r="AI129" s="54">
        <v>269660.59999999998</v>
      </c>
      <c r="AJ129" s="54">
        <v>583545.26812499994</v>
      </c>
      <c r="AK129" s="54">
        <v>101783.39625000001</v>
      </c>
      <c r="AL129" s="54">
        <v>62772.184374999997</v>
      </c>
      <c r="AM129" s="54">
        <v>418989.6875</v>
      </c>
      <c r="AN129" s="54">
        <v>194819.4</v>
      </c>
      <c r="AO129" s="54">
        <v>180099.76250000001</v>
      </c>
      <c r="AP129" s="54">
        <v>209370.33333333334</v>
      </c>
      <c r="AQ129" s="54">
        <v>88074.666666666672</v>
      </c>
      <c r="AR129" s="54">
        <v>289866.16666666669</v>
      </c>
      <c r="AS129" s="54">
        <v>18873</v>
      </c>
      <c r="AT129" s="54">
        <v>194359.1</v>
      </c>
      <c r="AU129" s="54">
        <v>1300633.6666666667</v>
      </c>
      <c r="AV129" s="54">
        <v>940124.27777777775</v>
      </c>
      <c r="AW129" s="54">
        <v>2240757.9444444445</v>
      </c>
      <c r="AX129" s="54">
        <v>19.5</v>
      </c>
      <c r="AY129" s="54">
        <v>12.79</v>
      </c>
      <c r="AZ129" s="54">
        <v>8.3874999999999993</v>
      </c>
      <c r="BA129" s="54" t="s">
        <v>342</v>
      </c>
      <c r="BB129" s="54" t="s">
        <v>347</v>
      </c>
    </row>
    <row r="130" spans="1:54" x14ac:dyDescent="0.25">
      <c r="A130" s="54">
        <v>394</v>
      </c>
      <c r="B130" s="54">
        <v>2008</v>
      </c>
      <c r="C130" s="88" t="s">
        <v>81</v>
      </c>
      <c r="D130" s="54" t="s">
        <v>6</v>
      </c>
      <c r="E130" s="54" t="s">
        <v>78</v>
      </c>
      <c r="F130" s="54" t="str">
        <f>_xlfn.CONCAT(Table13[[#This Row],[Geographic Scope]],": ",Table13[[#This Row],[Sub-Type/Focus]])</f>
        <v>National: Multiple Related Topics</v>
      </c>
      <c r="G130" s="54" t="str">
        <f>_xlfn.CONCAT(Table13[[#This Row],[Geographic Scope]],": ",Table13[[#This Row],[Sub-Type/Focus]],": ",Table13[[#This Row],[Content Type]])</f>
        <v>National: Multiple Related Topics: Investigative</v>
      </c>
      <c r="H130" s="54" t="str">
        <f>_xlfn.CONCAT(Table13[[#This Row],[Geographic Scope]],": ",Table13[[#This Row],[Content Type]])</f>
        <v>National: Investigative</v>
      </c>
      <c r="I130" s="55">
        <v>4628662.2569230776</v>
      </c>
      <c r="J130" s="55">
        <v>4455683.3761538463</v>
      </c>
      <c r="K130" s="55">
        <v>187393.78750000001</v>
      </c>
      <c r="L130" s="54">
        <v>2094934.8691666666</v>
      </c>
      <c r="M130" s="54">
        <v>1156615.46</v>
      </c>
      <c r="N130" s="54">
        <v>2290264.1953846151</v>
      </c>
      <c r="O130" s="54">
        <v>1420062.1184615383</v>
      </c>
      <c r="P130" s="54">
        <v>54998.307692307695</v>
      </c>
      <c r="Q130" s="54">
        <v>815203.76923076925</v>
      </c>
      <c r="R130" s="54">
        <v>174500</v>
      </c>
      <c r="S130" s="54">
        <v>56713.571428571428</v>
      </c>
      <c r="T130" s="54">
        <v>164065.25</v>
      </c>
      <c r="U130" s="54">
        <v>11999</v>
      </c>
      <c r="V130" s="54">
        <v>59330</v>
      </c>
      <c r="W130" s="54">
        <v>17982</v>
      </c>
      <c r="X130" s="54">
        <v>119575.27222222222</v>
      </c>
      <c r="Y130" s="54">
        <v>2726156.8</v>
      </c>
      <c r="Z130" s="54">
        <v>2143724.1333333333</v>
      </c>
      <c r="AA130" s="54">
        <v>4869880.9333333336</v>
      </c>
      <c r="AB130" s="54">
        <v>22.734375</v>
      </c>
      <c r="AC130" s="54">
        <v>17</v>
      </c>
      <c r="AD130" s="54">
        <v>7.0576923076923075</v>
      </c>
      <c r="AE130" s="54">
        <v>2344832.086875</v>
      </c>
      <c r="AF130" s="54">
        <v>1961759.6431249999</v>
      </c>
      <c r="AG130" s="54">
        <v>408610.60666666663</v>
      </c>
      <c r="AH130" s="54">
        <v>1233064.375</v>
      </c>
      <c r="AI130" s="54">
        <v>269660.59999999998</v>
      </c>
      <c r="AJ130" s="54">
        <v>583545.26812499994</v>
      </c>
      <c r="AK130" s="54">
        <v>101783.39625000001</v>
      </c>
      <c r="AL130" s="54">
        <v>62772.184374999997</v>
      </c>
      <c r="AM130" s="54">
        <v>418989.6875</v>
      </c>
      <c r="AN130" s="54">
        <v>194819.4</v>
      </c>
      <c r="AO130" s="54">
        <v>180099.76250000001</v>
      </c>
      <c r="AP130" s="54">
        <v>209370.33333333334</v>
      </c>
      <c r="AQ130" s="54">
        <v>88074.666666666672</v>
      </c>
      <c r="AR130" s="54">
        <v>289866.16666666669</v>
      </c>
      <c r="AS130" s="54">
        <v>18873</v>
      </c>
      <c r="AT130" s="54">
        <v>194359.1</v>
      </c>
      <c r="AU130" s="54">
        <v>1300633.6666666667</v>
      </c>
      <c r="AV130" s="54">
        <v>940124.27777777775</v>
      </c>
      <c r="AW130" s="54">
        <v>2240757.9444444445</v>
      </c>
      <c r="AX130" s="54">
        <v>19.5</v>
      </c>
      <c r="AY130" s="54">
        <v>12.79</v>
      </c>
      <c r="AZ130" s="54">
        <v>8.3874999999999993</v>
      </c>
      <c r="BA130" s="54" t="s">
        <v>343</v>
      </c>
      <c r="BB130" s="54" t="s">
        <v>374</v>
      </c>
    </row>
    <row r="131" spans="1:54" x14ac:dyDescent="0.25">
      <c r="A131" s="54">
        <v>418</v>
      </c>
      <c r="B131" s="54">
        <v>2010</v>
      </c>
      <c r="C131" s="88" t="s">
        <v>81</v>
      </c>
      <c r="D131" s="54" t="s">
        <v>6</v>
      </c>
      <c r="E131" s="54" t="s">
        <v>78</v>
      </c>
      <c r="F131" s="54" t="str">
        <f>_xlfn.CONCAT(Table13[[#This Row],[Geographic Scope]],": ",Table13[[#This Row],[Sub-Type/Focus]])</f>
        <v>National: Multiple Related Topics</v>
      </c>
      <c r="G131" s="54" t="str">
        <f>_xlfn.CONCAT(Table13[[#This Row],[Geographic Scope]],": ",Table13[[#This Row],[Sub-Type/Focus]],": ",Table13[[#This Row],[Content Type]])</f>
        <v>National: Multiple Related Topics: Investigative</v>
      </c>
      <c r="H131" s="54" t="str">
        <f>_xlfn.CONCAT(Table13[[#This Row],[Geographic Scope]],": ",Table13[[#This Row],[Content Type]])</f>
        <v>National: Investigative</v>
      </c>
      <c r="I131" s="55">
        <v>4628662.2569230776</v>
      </c>
      <c r="J131" s="55">
        <v>4455683.3761538463</v>
      </c>
      <c r="K131" s="55">
        <v>187393.78750000001</v>
      </c>
      <c r="L131" s="54">
        <v>2094934.8691666666</v>
      </c>
      <c r="M131" s="54">
        <v>1156615.46</v>
      </c>
      <c r="N131" s="54">
        <v>2290264.1953846151</v>
      </c>
      <c r="O131" s="54">
        <v>1420062.1184615383</v>
      </c>
      <c r="P131" s="54">
        <v>54998.307692307695</v>
      </c>
      <c r="Q131" s="54">
        <v>815203.76923076925</v>
      </c>
      <c r="R131" s="54">
        <v>174500</v>
      </c>
      <c r="S131" s="54">
        <v>56713.571428571428</v>
      </c>
      <c r="T131" s="54">
        <v>164065.25</v>
      </c>
      <c r="U131" s="54">
        <v>11999</v>
      </c>
      <c r="V131" s="54">
        <v>59330</v>
      </c>
      <c r="W131" s="54">
        <v>17982</v>
      </c>
      <c r="X131" s="54">
        <v>119575.27222222222</v>
      </c>
      <c r="Y131" s="54">
        <v>2726156.8</v>
      </c>
      <c r="Z131" s="54">
        <v>2143724.1333333333</v>
      </c>
      <c r="AA131" s="54">
        <v>4869880.9333333336</v>
      </c>
      <c r="AB131" s="54">
        <v>22.734375</v>
      </c>
      <c r="AC131" s="54">
        <v>17</v>
      </c>
      <c r="AD131" s="54">
        <v>7.0576923076923075</v>
      </c>
      <c r="AE131" s="54">
        <v>2344832.086875</v>
      </c>
      <c r="AF131" s="54">
        <v>1961759.6431249999</v>
      </c>
      <c r="AG131" s="54">
        <v>408610.60666666663</v>
      </c>
      <c r="AH131" s="54">
        <v>1233064.375</v>
      </c>
      <c r="AI131" s="54">
        <v>269660.59999999998</v>
      </c>
      <c r="AJ131" s="54">
        <v>583545.26812499994</v>
      </c>
      <c r="AK131" s="54">
        <v>101783.39625000001</v>
      </c>
      <c r="AL131" s="54">
        <v>62772.184374999997</v>
      </c>
      <c r="AM131" s="54">
        <v>418989.6875</v>
      </c>
      <c r="AN131" s="54">
        <v>194819.4</v>
      </c>
      <c r="AO131" s="54">
        <v>180099.76250000001</v>
      </c>
      <c r="AP131" s="54">
        <v>209370.33333333334</v>
      </c>
      <c r="AQ131" s="54">
        <v>88074.666666666672</v>
      </c>
      <c r="AR131" s="54">
        <v>289866.16666666669</v>
      </c>
      <c r="AS131" s="54">
        <v>18873</v>
      </c>
      <c r="AT131" s="54">
        <v>194359.1</v>
      </c>
      <c r="AU131" s="54">
        <v>1300633.6666666667</v>
      </c>
      <c r="AV131" s="54">
        <v>940124.27777777775</v>
      </c>
      <c r="AW131" s="54">
        <v>2240757.9444444445</v>
      </c>
      <c r="AX131" s="54">
        <v>19.5</v>
      </c>
      <c r="AY131" s="54">
        <v>12.79</v>
      </c>
      <c r="AZ131" s="54">
        <v>8.3874999999999993</v>
      </c>
      <c r="BA131" s="54" t="s">
        <v>342</v>
      </c>
    </row>
    <row r="132" spans="1:54" x14ac:dyDescent="0.25">
      <c r="A132" s="54">
        <v>426</v>
      </c>
      <c r="B132" s="54">
        <v>2003</v>
      </c>
      <c r="C132" s="88" t="s">
        <v>81</v>
      </c>
      <c r="D132" s="54" t="s">
        <v>6</v>
      </c>
      <c r="E132" s="54" t="s">
        <v>78</v>
      </c>
      <c r="F132" s="54" t="str">
        <f>_xlfn.CONCAT(Table13[[#This Row],[Geographic Scope]],": ",Table13[[#This Row],[Sub-Type/Focus]])</f>
        <v>National: Multiple Related Topics</v>
      </c>
      <c r="G132" s="54" t="str">
        <f>_xlfn.CONCAT(Table13[[#This Row],[Geographic Scope]],": ",Table13[[#This Row],[Sub-Type/Focus]],": ",Table13[[#This Row],[Content Type]])</f>
        <v>National: Multiple Related Topics: Investigative</v>
      </c>
      <c r="H132" s="54" t="str">
        <f>_xlfn.CONCAT(Table13[[#This Row],[Geographic Scope]],": ",Table13[[#This Row],[Content Type]])</f>
        <v>National: Investigative</v>
      </c>
      <c r="I132" s="55">
        <v>4628662.2569230776</v>
      </c>
      <c r="J132" s="55">
        <v>4455683.3761538463</v>
      </c>
      <c r="K132" s="55">
        <v>187393.78750000001</v>
      </c>
      <c r="L132" s="54">
        <v>2094934.8691666666</v>
      </c>
      <c r="M132" s="54">
        <v>1156615.46</v>
      </c>
      <c r="N132" s="54">
        <v>2290264.1953846151</v>
      </c>
      <c r="O132" s="54">
        <v>1420062.1184615383</v>
      </c>
      <c r="P132" s="54">
        <v>54998.307692307695</v>
      </c>
      <c r="Q132" s="54">
        <v>815203.76923076925</v>
      </c>
      <c r="R132" s="54">
        <v>174500</v>
      </c>
      <c r="S132" s="54">
        <v>56713.571428571428</v>
      </c>
      <c r="T132" s="54">
        <v>164065.25</v>
      </c>
      <c r="U132" s="54">
        <v>11999</v>
      </c>
      <c r="V132" s="54">
        <v>59330</v>
      </c>
      <c r="W132" s="54">
        <v>17982</v>
      </c>
      <c r="X132" s="54">
        <v>119575.27222222222</v>
      </c>
      <c r="Y132" s="54">
        <v>2726156.8</v>
      </c>
      <c r="Z132" s="54">
        <v>2143724.1333333333</v>
      </c>
      <c r="AA132" s="54">
        <v>4869880.9333333336</v>
      </c>
      <c r="AB132" s="54">
        <v>22.734375</v>
      </c>
      <c r="AC132" s="54">
        <v>17</v>
      </c>
      <c r="AD132" s="54">
        <v>7.0576923076923075</v>
      </c>
      <c r="AE132" s="54">
        <v>2344832.086875</v>
      </c>
      <c r="AF132" s="54">
        <v>1961759.6431249999</v>
      </c>
      <c r="AG132" s="54">
        <v>408610.60666666663</v>
      </c>
      <c r="AH132" s="54">
        <v>1233064.375</v>
      </c>
      <c r="AI132" s="54">
        <v>269660.59999999998</v>
      </c>
      <c r="AJ132" s="54">
        <v>583545.26812499994</v>
      </c>
      <c r="AK132" s="54">
        <v>101783.39625000001</v>
      </c>
      <c r="AL132" s="54">
        <v>62772.184374999997</v>
      </c>
      <c r="AM132" s="54">
        <v>418989.6875</v>
      </c>
      <c r="AN132" s="54">
        <v>194819.4</v>
      </c>
      <c r="AO132" s="54">
        <v>180099.76250000001</v>
      </c>
      <c r="AP132" s="54">
        <v>209370.33333333334</v>
      </c>
      <c r="AQ132" s="54">
        <v>88074.666666666672</v>
      </c>
      <c r="AR132" s="54">
        <v>289866.16666666669</v>
      </c>
      <c r="AS132" s="54">
        <v>18873</v>
      </c>
      <c r="AT132" s="54">
        <v>194359.1</v>
      </c>
      <c r="AU132" s="54">
        <v>1300633.6666666667</v>
      </c>
      <c r="AV132" s="54">
        <v>940124.27777777775</v>
      </c>
      <c r="AW132" s="54">
        <v>2240757.9444444445</v>
      </c>
      <c r="AX132" s="54">
        <v>19.5</v>
      </c>
      <c r="AY132" s="54">
        <v>12.79</v>
      </c>
      <c r="AZ132" s="54">
        <v>8.3874999999999993</v>
      </c>
      <c r="BA132" s="54" t="s">
        <v>339</v>
      </c>
      <c r="BB132" s="54" t="s">
        <v>365</v>
      </c>
    </row>
    <row r="133" spans="1:54" x14ac:dyDescent="0.25">
      <c r="A133" s="54">
        <v>442</v>
      </c>
      <c r="B133" s="54">
        <v>2007</v>
      </c>
      <c r="C133" s="88" t="s">
        <v>81</v>
      </c>
      <c r="D133" s="54" t="s">
        <v>6</v>
      </c>
      <c r="E133" s="54" t="s">
        <v>78</v>
      </c>
      <c r="F133" s="54" t="str">
        <f>_xlfn.CONCAT(Table13[[#This Row],[Geographic Scope]],": ",Table13[[#This Row],[Sub-Type/Focus]])</f>
        <v>National: Multiple Related Topics</v>
      </c>
      <c r="G133" s="54" t="str">
        <f>_xlfn.CONCAT(Table13[[#This Row],[Geographic Scope]],": ",Table13[[#This Row],[Sub-Type/Focus]],": ",Table13[[#This Row],[Content Type]])</f>
        <v>National: Multiple Related Topics: Investigative</v>
      </c>
      <c r="H133" s="54" t="str">
        <f>_xlfn.CONCAT(Table13[[#This Row],[Geographic Scope]],": ",Table13[[#This Row],[Content Type]])</f>
        <v>National: Investigative</v>
      </c>
      <c r="I133" s="55">
        <v>4628662.2569230776</v>
      </c>
      <c r="J133" s="55">
        <v>4455683.3761538463</v>
      </c>
      <c r="K133" s="55">
        <v>187393.78750000001</v>
      </c>
      <c r="L133" s="54">
        <v>2094934.8691666666</v>
      </c>
      <c r="M133" s="54">
        <v>1156615.46</v>
      </c>
      <c r="N133" s="54">
        <v>2290264.1953846151</v>
      </c>
      <c r="O133" s="54">
        <v>1420062.1184615383</v>
      </c>
      <c r="P133" s="54">
        <v>54998.307692307695</v>
      </c>
      <c r="Q133" s="54">
        <v>815203.76923076925</v>
      </c>
      <c r="R133" s="54">
        <v>174500</v>
      </c>
      <c r="S133" s="54">
        <v>56713.571428571428</v>
      </c>
      <c r="T133" s="54">
        <v>164065.25</v>
      </c>
      <c r="U133" s="54">
        <v>11999</v>
      </c>
      <c r="V133" s="54">
        <v>59330</v>
      </c>
      <c r="W133" s="54">
        <v>17982</v>
      </c>
      <c r="X133" s="54">
        <v>119575.27222222222</v>
      </c>
      <c r="Y133" s="54">
        <v>2726156.8</v>
      </c>
      <c r="Z133" s="54">
        <v>2143724.1333333333</v>
      </c>
      <c r="AA133" s="54">
        <v>4869880.9333333336</v>
      </c>
      <c r="AB133" s="54">
        <v>22.734375</v>
      </c>
      <c r="AC133" s="54">
        <v>17</v>
      </c>
      <c r="AD133" s="54">
        <v>7.0576923076923075</v>
      </c>
      <c r="AE133" s="54">
        <v>2344832.086875</v>
      </c>
      <c r="AF133" s="54">
        <v>1961759.6431249999</v>
      </c>
      <c r="AG133" s="54">
        <v>408610.60666666663</v>
      </c>
      <c r="AH133" s="54">
        <v>1233064.375</v>
      </c>
      <c r="AI133" s="54">
        <v>269660.59999999998</v>
      </c>
      <c r="AJ133" s="54">
        <v>583545.26812499994</v>
      </c>
      <c r="AK133" s="54">
        <v>101783.39625000001</v>
      </c>
      <c r="AL133" s="54">
        <v>62772.184374999997</v>
      </c>
      <c r="AM133" s="54">
        <v>418989.6875</v>
      </c>
      <c r="AN133" s="54">
        <v>194819.4</v>
      </c>
      <c r="AO133" s="54">
        <v>180099.76250000001</v>
      </c>
      <c r="AP133" s="54">
        <v>209370.33333333334</v>
      </c>
      <c r="AQ133" s="54">
        <v>88074.666666666672</v>
      </c>
      <c r="AR133" s="54">
        <v>289866.16666666669</v>
      </c>
      <c r="AS133" s="54">
        <v>18873</v>
      </c>
      <c r="AT133" s="54">
        <v>194359.1</v>
      </c>
      <c r="AU133" s="54">
        <v>1300633.6666666667</v>
      </c>
      <c r="AV133" s="54">
        <v>940124.27777777775</v>
      </c>
      <c r="AW133" s="54">
        <v>2240757.9444444445</v>
      </c>
      <c r="AX133" s="54">
        <v>19.5</v>
      </c>
      <c r="AY133" s="54">
        <v>12.79</v>
      </c>
      <c r="AZ133" s="54">
        <v>8.3874999999999993</v>
      </c>
      <c r="BA133" s="54" t="s">
        <v>343</v>
      </c>
      <c r="BB133" s="54" t="s">
        <v>375</v>
      </c>
    </row>
    <row r="134" spans="1:54" x14ac:dyDescent="0.25">
      <c r="A134" s="54">
        <v>472</v>
      </c>
      <c r="B134" s="54">
        <v>1977</v>
      </c>
      <c r="C134" s="88" t="s">
        <v>81</v>
      </c>
      <c r="D134" s="54" t="s">
        <v>6</v>
      </c>
      <c r="E134" s="54" t="s">
        <v>78</v>
      </c>
      <c r="F134" s="54" t="str">
        <f>_xlfn.CONCAT(Table13[[#This Row],[Geographic Scope]],": ",Table13[[#This Row],[Sub-Type/Focus]])</f>
        <v>National: Multiple Related Topics</v>
      </c>
      <c r="G134" s="54" t="str">
        <f>_xlfn.CONCAT(Table13[[#This Row],[Geographic Scope]],": ",Table13[[#This Row],[Sub-Type/Focus]],": ",Table13[[#This Row],[Content Type]])</f>
        <v>National: Multiple Related Topics: Investigative</v>
      </c>
      <c r="H134" s="54" t="str">
        <f>_xlfn.CONCAT(Table13[[#This Row],[Geographic Scope]],": ",Table13[[#This Row],[Content Type]])</f>
        <v>National: Investigative</v>
      </c>
      <c r="I134" s="55">
        <v>4628662.2569230776</v>
      </c>
      <c r="J134" s="55">
        <v>4455683.3761538463</v>
      </c>
      <c r="K134" s="55">
        <v>187393.78750000001</v>
      </c>
      <c r="L134" s="54">
        <v>2094934.8691666666</v>
      </c>
      <c r="M134" s="54">
        <v>1156615.46</v>
      </c>
      <c r="N134" s="54">
        <v>2290264.1953846151</v>
      </c>
      <c r="O134" s="54">
        <v>1420062.1184615383</v>
      </c>
      <c r="P134" s="54">
        <v>54998.307692307695</v>
      </c>
      <c r="Q134" s="54">
        <v>815203.76923076925</v>
      </c>
      <c r="R134" s="54">
        <v>174500</v>
      </c>
      <c r="S134" s="54">
        <v>56713.571428571428</v>
      </c>
      <c r="T134" s="54">
        <v>164065.25</v>
      </c>
      <c r="U134" s="54">
        <v>11999</v>
      </c>
      <c r="V134" s="54">
        <v>59330</v>
      </c>
      <c r="W134" s="54">
        <v>17982</v>
      </c>
      <c r="X134" s="54">
        <v>119575.27222222222</v>
      </c>
      <c r="Y134" s="54">
        <v>2726156.8</v>
      </c>
      <c r="Z134" s="54">
        <v>2143724.1333333333</v>
      </c>
      <c r="AA134" s="54">
        <v>4869880.9333333336</v>
      </c>
      <c r="AB134" s="54">
        <v>22.734375</v>
      </c>
      <c r="AC134" s="54">
        <v>17</v>
      </c>
      <c r="AD134" s="54">
        <v>7.0576923076923075</v>
      </c>
      <c r="AE134" s="54">
        <v>2344832.086875</v>
      </c>
      <c r="AF134" s="54">
        <v>1961759.6431249999</v>
      </c>
      <c r="AG134" s="54">
        <v>408610.60666666663</v>
      </c>
      <c r="AH134" s="54">
        <v>1233064.375</v>
      </c>
      <c r="AI134" s="54">
        <v>269660.59999999998</v>
      </c>
      <c r="AJ134" s="54">
        <v>583545.26812499994</v>
      </c>
      <c r="AK134" s="54">
        <v>101783.39625000001</v>
      </c>
      <c r="AL134" s="54">
        <v>62772.184374999997</v>
      </c>
      <c r="AM134" s="54">
        <v>418989.6875</v>
      </c>
      <c r="AN134" s="54">
        <v>194819.4</v>
      </c>
      <c r="AO134" s="54">
        <v>180099.76250000001</v>
      </c>
      <c r="AP134" s="54">
        <v>209370.33333333334</v>
      </c>
      <c r="AQ134" s="54">
        <v>88074.666666666672</v>
      </c>
      <c r="AR134" s="54">
        <v>289866.16666666669</v>
      </c>
      <c r="AS134" s="54">
        <v>18873</v>
      </c>
      <c r="AT134" s="54">
        <v>194359.1</v>
      </c>
      <c r="AU134" s="54">
        <v>1300633.6666666667</v>
      </c>
      <c r="AV134" s="54">
        <v>940124.27777777775</v>
      </c>
      <c r="AW134" s="54">
        <v>2240757.9444444445</v>
      </c>
      <c r="AX134" s="54">
        <v>19.5</v>
      </c>
      <c r="AY134" s="54">
        <v>12.79</v>
      </c>
      <c r="AZ134" s="54">
        <v>8.3874999999999993</v>
      </c>
      <c r="BA134" s="54" t="s">
        <v>343</v>
      </c>
      <c r="BB134" s="54" t="s">
        <v>376</v>
      </c>
    </row>
    <row r="135" spans="1:54" x14ac:dyDescent="0.25">
      <c r="A135" s="54">
        <v>506</v>
      </c>
      <c r="B135" s="54">
        <v>1969</v>
      </c>
      <c r="C135" s="88" t="s">
        <v>81</v>
      </c>
      <c r="D135" s="54" t="s">
        <v>6</v>
      </c>
      <c r="E135" s="54" t="s">
        <v>78</v>
      </c>
      <c r="F135" s="54" t="str">
        <f>_xlfn.CONCAT(Table13[[#This Row],[Geographic Scope]],": ",Table13[[#This Row],[Sub-Type/Focus]])</f>
        <v>National: Multiple Related Topics</v>
      </c>
      <c r="G135" s="54" t="str">
        <f>_xlfn.CONCAT(Table13[[#This Row],[Geographic Scope]],": ",Table13[[#This Row],[Sub-Type/Focus]],": ",Table13[[#This Row],[Content Type]])</f>
        <v>National: Multiple Related Topics: Investigative</v>
      </c>
      <c r="H135" s="54" t="str">
        <f>_xlfn.CONCAT(Table13[[#This Row],[Geographic Scope]],": ",Table13[[#This Row],[Content Type]])</f>
        <v>National: Investigative</v>
      </c>
      <c r="I135" s="55">
        <v>4628662.2569230776</v>
      </c>
      <c r="J135" s="55">
        <v>4455683.3761538463</v>
      </c>
      <c r="K135" s="55">
        <v>187393.78750000001</v>
      </c>
      <c r="L135" s="54">
        <v>2094934.8691666666</v>
      </c>
      <c r="M135" s="54">
        <v>1156615.46</v>
      </c>
      <c r="N135" s="54">
        <v>2290264.1953846151</v>
      </c>
      <c r="O135" s="54">
        <v>1420062.1184615383</v>
      </c>
      <c r="P135" s="54">
        <v>54998.307692307695</v>
      </c>
      <c r="Q135" s="54">
        <v>815203.76923076925</v>
      </c>
      <c r="R135" s="54">
        <v>174500</v>
      </c>
      <c r="S135" s="54">
        <v>56713.571428571428</v>
      </c>
      <c r="T135" s="54">
        <v>164065.25</v>
      </c>
      <c r="U135" s="54">
        <v>11999</v>
      </c>
      <c r="V135" s="54">
        <v>59330</v>
      </c>
      <c r="W135" s="54">
        <v>17982</v>
      </c>
      <c r="X135" s="54">
        <v>119575.27222222222</v>
      </c>
      <c r="Y135" s="54">
        <v>2726156.8</v>
      </c>
      <c r="Z135" s="54">
        <v>2143724.1333333333</v>
      </c>
      <c r="AA135" s="54">
        <v>4869880.9333333336</v>
      </c>
      <c r="AB135" s="54">
        <v>22.734375</v>
      </c>
      <c r="AC135" s="54">
        <v>17</v>
      </c>
      <c r="AD135" s="54">
        <v>7.0576923076923075</v>
      </c>
      <c r="AE135" s="54">
        <v>2344832.086875</v>
      </c>
      <c r="AF135" s="54">
        <v>1961759.6431249999</v>
      </c>
      <c r="AG135" s="54">
        <v>408610.60666666663</v>
      </c>
      <c r="AH135" s="54">
        <v>1233064.375</v>
      </c>
      <c r="AI135" s="54">
        <v>269660.59999999998</v>
      </c>
      <c r="AJ135" s="54">
        <v>583545.26812499994</v>
      </c>
      <c r="AK135" s="54">
        <v>101783.39625000001</v>
      </c>
      <c r="AL135" s="54">
        <v>62772.184374999997</v>
      </c>
      <c r="AM135" s="54">
        <v>418989.6875</v>
      </c>
      <c r="AN135" s="54">
        <v>194819.4</v>
      </c>
      <c r="AO135" s="54">
        <v>180099.76250000001</v>
      </c>
      <c r="AP135" s="54">
        <v>209370.33333333334</v>
      </c>
      <c r="AQ135" s="54">
        <v>88074.666666666672</v>
      </c>
      <c r="AR135" s="54">
        <v>289866.16666666669</v>
      </c>
      <c r="AS135" s="54">
        <v>18873</v>
      </c>
      <c r="AT135" s="54">
        <v>194359.1</v>
      </c>
      <c r="AU135" s="54">
        <v>1300633.6666666667</v>
      </c>
      <c r="AV135" s="54">
        <v>940124.27777777775</v>
      </c>
      <c r="AW135" s="54">
        <v>2240757.9444444445</v>
      </c>
      <c r="AX135" s="54">
        <v>19.5</v>
      </c>
      <c r="AY135" s="54">
        <v>12.79</v>
      </c>
      <c r="AZ135" s="54">
        <v>8.3874999999999993</v>
      </c>
      <c r="BA135" s="54" t="s">
        <v>339</v>
      </c>
      <c r="BB135" s="54" t="s">
        <v>342</v>
      </c>
    </row>
    <row r="136" spans="1:54" x14ac:dyDescent="0.25">
      <c r="A136" s="54">
        <v>388</v>
      </c>
      <c r="B136" s="54">
        <v>2007</v>
      </c>
      <c r="C136" s="88" t="s">
        <v>81</v>
      </c>
      <c r="D136" s="54" t="s">
        <v>6</v>
      </c>
      <c r="E136" s="54" t="s">
        <v>79</v>
      </c>
      <c r="F136" s="54" t="str">
        <f>_xlfn.CONCAT(Table13[[#This Row],[Geographic Scope]],": ",Table13[[#This Row],[Sub-Type/Focus]])</f>
        <v>National: Single-Topic</v>
      </c>
      <c r="G136" s="54" t="str">
        <f>_xlfn.CONCAT(Table13[[#This Row],[Geographic Scope]],": ",Table13[[#This Row],[Sub-Type/Focus]],": ",Table13[[#This Row],[Content Type]])</f>
        <v>National: Single-Topic: Investigative</v>
      </c>
      <c r="H136" s="54" t="str">
        <f>_xlfn.CONCAT(Table13[[#This Row],[Geographic Scope]],": ",Table13[[#This Row],[Content Type]])</f>
        <v>National: Investigative</v>
      </c>
      <c r="I136" s="55">
        <v>4628662.2569230776</v>
      </c>
      <c r="J136" s="55">
        <v>4455683.3761538463</v>
      </c>
      <c r="K136" s="55">
        <v>187393.78750000001</v>
      </c>
      <c r="L136" s="54">
        <v>2094934.8691666666</v>
      </c>
      <c r="M136" s="54">
        <v>1156615.46</v>
      </c>
      <c r="N136" s="54">
        <v>2290264.1953846151</v>
      </c>
      <c r="O136" s="54">
        <v>1420062.1184615383</v>
      </c>
      <c r="P136" s="54">
        <v>54998.307692307695</v>
      </c>
      <c r="Q136" s="54">
        <v>815203.76923076925</v>
      </c>
      <c r="R136" s="54">
        <v>174500</v>
      </c>
      <c r="S136" s="54">
        <v>56713.571428571428</v>
      </c>
      <c r="T136" s="54">
        <v>164065.25</v>
      </c>
      <c r="U136" s="54">
        <v>11999</v>
      </c>
      <c r="V136" s="54">
        <v>59330</v>
      </c>
      <c r="W136" s="54">
        <v>17982</v>
      </c>
      <c r="X136" s="54">
        <v>119575.27222222222</v>
      </c>
      <c r="Y136" s="54">
        <v>2726156.8</v>
      </c>
      <c r="Z136" s="54">
        <v>2143724.1333333333</v>
      </c>
      <c r="AA136" s="54">
        <v>4869880.9333333336</v>
      </c>
      <c r="AB136" s="54">
        <v>22.734375</v>
      </c>
      <c r="AC136" s="54">
        <v>17</v>
      </c>
      <c r="AD136" s="54">
        <v>7.0576923076923075</v>
      </c>
      <c r="AE136" s="54">
        <v>3277215.9824999995</v>
      </c>
      <c r="AF136" s="54">
        <v>3139098.2609999999</v>
      </c>
      <c r="AG136" s="54">
        <v>162491.43705882353</v>
      </c>
      <c r="AH136" s="54">
        <v>1593105.9355555556</v>
      </c>
      <c r="AI136" s="54">
        <v>124546.58749999999</v>
      </c>
      <c r="AJ136" s="54">
        <v>1641286.1014999999</v>
      </c>
      <c r="AK136" s="54">
        <v>725462.34050000005</v>
      </c>
      <c r="AL136" s="54">
        <v>18893.798999999999</v>
      </c>
      <c r="AM136" s="54">
        <v>896929.96200000006</v>
      </c>
      <c r="AN136" s="54">
        <v>97768.75</v>
      </c>
      <c r="AO136" s="54">
        <v>77198.87</v>
      </c>
      <c r="AP136" s="54">
        <v>205768.83333333334</v>
      </c>
      <c r="AQ136" s="54">
        <v>30288.2</v>
      </c>
      <c r="AR136" s="54">
        <v>94587.372499999998</v>
      </c>
      <c r="AS136" s="54">
        <v>18031.396000000001</v>
      </c>
      <c r="AT136" s="54">
        <v>24183.583333333332</v>
      </c>
      <c r="AU136" s="54">
        <v>1375785.7085000002</v>
      </c>
      <c r="AV136" s="54">
        <v>832988.39249999996</v>
      </c>
      <c r="AW136" s="54">
        <v>2208774.1009999998</v>
      </c>
      <c r="AX136" s="54">
        <v>18.587499999999999</v>
      </c>
      <c r="AY136" s="54">
        <v>11.3925</v>
      </c>
      <c r="AZ136" s="54">
        <v>8.4647058823529413</v>
      </c>
      <c r="BA136" s="54" t="s">
        <v>342</v>
      </c>
    </row>
    <row r="137" spans="1:54" x14ac:dyDescent="0.25">
      <c r="A137" s="54">
        <v>458</v>
      </c>
      <c r="B137" s="54">
        <v>1975</v>
      </c>
      <c r="C137" s="88" t="s">
        <v>81</v>
      </c>
      <c r="D137" s="54" t="s">
        <v>6</v>
      </c>
      <c r="E137" s="54" t="s">
        <v>79</v>
      </c>
      <c r="F137" s="54" t="str">
        <f>_xlfn.CONCAT(Table13[[#This Row],[Geographic Scope]],": ",Table13[[#This Row],[Sub-Type/Focus]])</f>
        <v>National: Single-Topic</v>
      </c>
      <c r="G137" s="54" t="str">
        <f>_xlfn.CONCAT(Table13[[#This Row],[Geographic Scope]],": ",Table13[[#This Row],[Sub-Type/Focus]],": ",Table13[[#This Row],[Content Type]])</f>
        <v>National: Single-Topic: Investigative</v>
      </c>
      <c r="H137" s="54" t="str">
        <f>_xlfn.CONCAT(Table13[[#This Row],[Geographic Scope]],": ",Table13[[#This Row],[Content Type]])</f>
        <v>National: Investigative</v>
      </c>
      <c r="I137" s="55">
        <v>4628662.2569230776</v>
      </c>
      <c r="J137" s="55">
        <v>4455683.3761538463</v>
      </c>
      <c r="K137" s="55">
        <v>187393.78750000001</v>
      </c>
      <c r="L137" s="54">
        <v>2094934.8691666666</v>
      </c>
      <c r="M137" s="54">
        <v>1156615.46</v>
      </c>
      <c r="N137" s="54">
        <v>2290264.1953846151</v>
      </c>
      <c r="O137" s="54">
        <v>1420062.1184615383</v>
      </c>
      <c r="P137" s="54">
        <v>54998.307692307695</v>
      </c>
      <c r="Q137" s="54">
        <v>815203.76923076925</v>
      </c>
      <c r="R137" s="54">
        <v>174500</v>
      </c>
      <c r="S137" s="54">
        <v>56713.571428571428</v>
      </c>
      <c r="T137" s="54">
        <v>164065.25</v>
      </c>
      <c r="U137" s="54">
        <v>11999</v>
      </c>
      <c r="V137" s="54">
        <v>59330</v>
      </c>
      <c r="W137" s="54">
        <v>17982</v>
      </c>
      <c r="X137" s="54">
        <v>119575.27222222222</v>
      </c>
      <c r="Y137" s="54">
        <v>2726156.8</v>
      </c>
      <c r="Z137" s="54">
        <v>2143724.1333333333</v>
      </c>
      <c r="AA137" s="54">
        <v>4869880.9333333336</v>
      </c>
      <c r="AB137" s="54">
        <v>22.734375</v>
      </c>
      <c r="AC137" s="54">
        <v>17</v>
      </c>
      <c r="AD137" s="54">
        <v>7.0576923076923075</v>
      </c>
      <c r="AE137" s="54">
        <v>3277215.9824999995</v>
      </c>
      <c r="AF137" s="54">
        <v>3139098.2609999999</v>
      </c>
      <c r="AG137" s="54">
        <v>162491.43705882353</v>
      </c>
      <c r="AH137" s="54">
        <v>1593105.9355555556</v>
      </c>
      <c r="AI137" s="54">
        <v>124546.58749999999</v>
      </c>
      <c r="AJ137" s="54">
        <v>1641286.1014999999</v>
      </c>
      <c r="AK137" s="54">
        <v>725462.34050000005</v>
      </c>
      <c r="AL137" s="54">
        <v>18893.798999999999</v>
      </c>
      <c r="AM137" s="54">
        <v>896929.96200000006</v>
      </c>
      <c r="AN137" s="54">
        <v>97768.75</v>
      </c>
      <c r="AO137" s="54">
        <v>77198.87</v>
      </c>
      <c r="AP137" s="54">
        <v>205768.83333333334</v>
      </c>
      <c r="AQ137" s="54">
        <v>30288.2</v>
      </c>
      <c r="AR137" s="54">
        <v>94587.372499999998</v>
      </c>
      <c r="AS137" s="54">
        <v>18031.396000000001</v>
      </c>
      <c r="AT137" s="54">
        <v>24183.583333333332</v>
      </c>
      <c r="AU137" s="54">
        <v>1375785.7085000002</v>
      </c>
      <c r="AV137" s="54">
        <v>832988.39249999996</v>
      </c>
      <c r="AW137" s="54">
        <v>2208774.1009999998</v>
      </c>
      <c r="AX137" s="54">
        <v>18.587499999999999</v>
      </c>
      <c r="AY137" s="54">
        <v>11.3925</v>
      </c>
      <c r="AZ137" s="54">
        <v>8.4647058823529413</v>
      </c>
      <c r="BA137" s="54" t="s">
        <v>342</v>
      </c>
    </row>
    <row r="138" spans="1:54" x14ac:dyDescent="0.25">
      <c r="A138" s="54">
        <v>473</v>
      </c>
      <c r="B138" s="54">
        <v>1983</v>
      </c>
      <c r="C138" s="88" t="s">
        <v>81</v>
      </c>
      <c r="D138" s="54" t="s">
        <v>6</v>
      </c>
      <c r="E138" s="54" t="s">
        <v>79</v>
      </c>
      <c r="F138" s="54" t="str">
        <f>_xlfn.CONCAT(Table13[[#This Row],[Geographic Scope]],": ",Table13[[#This Row],[Sub-Type/Focus]])</f>
        <v>National: Single-Topic</v>
      </c>
      <c r="G138" s="54" t="str">
        <f>_xlfn.CONCAT(Table13[[#This Row],[Geographic Scope]],": ",Table13[[#This Row],[Sub-Type/Focus]],": ",Table13[[#This Row],[Content Type]])</f>
        <v>National: Single-Topic: Investigative</v>
      </c>
      <c r="H138" s="54" t="str">
        <f>_xlfn.CONCAT(Table13[[#This Row],[Geographic Scope]],": ",Table13[[#This Row],[Content Type]])</f>
        <v>National: Investigative</v>
      </c>
      <c r="I138" s="55">
        <v>4628662.2569230776</v>
      </c>
      <c r="J138" s="55">
        <v>4455683.3761538463</v>
      </c>
      <c r="K138" s="55">
        <v>187393.78750000001</v>
      </c>
      <c r="L138" s="54">
        <v>2094934.8691666666</v>
      </c>
      <c r="M138" s="54">
        <v>1156615.46</v>
      </c>
      <c r="N138" s="54">
        <v>2290264.1953846151</v>
      </c>
      <c r="O138" s="54">
        <v>1420062.1184615383</v>
      </c>
      <c r="P138" s="54">
        <v>54998.307692307695</v>
      </c>
      <c r="Q138" s="54">
        <v>815203.76923076925</v>
      </c>
      <c r="R138" s="54">
        <v>174500</v>
      </c>
      <c r="S138" s="54">
        <v>56713.571428571428</v>
      </c>
      <c r="T138" s="54">
        <v>164065.25</v>
      </c>
      <c r="U138" s="54">
        <v>11999</v>
      </c>
      <c r="V138" s="54">
        <v>59330</v>
      </c>
      <c r="W138" s="54">
        <v>17982</v>
      </c>
      <c r="X138" s="54">
        <v>119575.27222222222</v>
      </c>
      <c r="Y138" s="54">
        <v>2726156.8</v>
      </c>
      <c r="Z138" s="54">
        <v>2143724.1333333333</v>
      </c>
      <c r="AA138" s="54">
        <v>4869880.9333333336</v>
      </c>
      <c r="AB138" s="54">
        <v>22.734375</v>
      </c>
      <c r="AC138" s="54">
        <v>17</v>
      </c>
      <c r="AD138" s="54">
        <v>7.0576923076923075</v>
      </c>
      <c r="AE138" s="54">
        <v>3277215.9824999995</v>
      </c>
      <c r="AF138" s="54">
        <v>3139098.2609999999</v>
      </c>
      <c r="AG138" s="54">
        <v>162491.43705882353</v>
      </c>
      <c r="AH138" s="54">
        <v>1593105.9355555556</v>
      </c>
      <c r="AI138" s="54">
        <v>124546.58749999999</v>
      </c>
      <c r="AJ138" s="54">
        <v>1641286.1014999999</v>
      </c>
      <c r="AK138" s="54">
        <v>725462.34050000005</v>
      </c>
      <c r="AL138" s="54">
        <v>18893.798999999999</v>
      </c>
      <c r="AM138" s="54">
        <v>896929.96200000006</v>
      </c>
      <c r="AN138" s="54">
        <v>97768.75</v>
      </c>
      <c r="AO138" s="54">
        <v>77198.87</v>
      </c>
      <c r="AP138" s="54">
        <v>205768.83333333334</v>
      </c>
      <c r="AQ138" s="54">
        <v>30288.2</v>
      </c>
      <c r="AR138" s="54">
        <v>94587.372499999998</v>
      </c>
      <c r="AS138" s="54">
        <v>18031.396000000001</v>
      </c>
      <c r="AT138" s="54">
        <v>24183.583333333332</v>
      </c>
      <c r="AU138" s="54">
        <v>1375785.7085000002</v>
      </c>
      <c r="AV138" s="54">
        <v>832988.39249999996</v>
      </c>
      <c r="AW138" s="54">
        <v>2208774.1009999998</v>
      </c>
      <c r="AX138" s="54">
        <v>18.587499999999999</v>
      </c>
      <c r="AY138" s="54">
        <v>11.3925</v>
      </c>
      <c r="AZ138" s="54">
        <v>8.4647058823529413</v>
      </c>
      <c r="BA138" s="54" t="s">
        <v>342</v>
      </c>
    </row>
    <row r="139" spans="1:54" x14ac:dyDescent="0.25">
      <c r="A139" s="54">
        <v>474</v>
      </c>
      <c r="B139" s="54">
        <v>2013</v>
      </c>
      <c r="C139" s="88" t="s">
        <v>81</v>
      </c>
      <c r="D139" s="54" t="s">
        <v>6</v>
      </c>
      <c r="E139" s="54" t="s">
        <v>79</v>
      </c>
      <c r="F139" s="54" t="str">
        <f>_xlfn.CONCAT(Table13[[#This Row],[Geographic Scope]],": ",Table13[[#This Row],[Sub-Type/Focus]])</f>
        <v>National: Single-Topic</v>
      </c>
      <c r="G139" s="54" t="str">
        <f>_xlfn.CONCAT(Table13[[#This Row],[Geographic Scope]],": ",Table13[[#This Row],[Sub-Type/Focus]],": ",Table13[[#This Row],[Content Type]])</f>
        <v>National: Single-Topic: Investigative</v>
      </c>
      <c r="H139" s="54" t="str">
        <f>_xlfn.CONCAT(Table13[[#This Row],[Geographic Scope]],": ",Table13[[#This Row],[Content Type]])</f>
        <v>National: Investigative</v>
      </c>
      <c r="I139" s="55">
        <v>4628662.2569230776</v>
      </c>
      <c r="J139" s="55">
        <v>4455683.3761538463</v>
      </c>
      <c r="K139" s="55">
        <v>187393.78750000001</v>
      </c>
      <c r="L139" s="54">
        <v>2094934.8691666666</v>
      </c>
      <c r="M139" s="54">
        <v>1156615.46</v>
      </c>
      <c r="N139" s="54">
        <v>2290264.1953846151</v>
      </c>
      <c r="O139" s="54">
        <v>1420062.1184615383</v>
      </c>
      <c r="P139" s="54">
        <v>54998.307692307695</v>
      </c>
      <c r="Q139" s="54">
        <v>815203.76923076925</v>
      </c>
      <c r="R139" s="54">
        <v>174500</v>
      </c>
      <c r="S139" s="54">
        <v>56713.571428571428</v>
      </c>
      <c r="T139" s="54">
        <v>164065.25</v>
      </c>
      <c r="U139" s="54">
        <v>11999</v>
      </c>
      <c r="V139" s="54">
        <v>59330</v>
      </c>
      <c r="W139" s="54">
        <v>17982</v>
      </c>
      <c r="X139" s="54">
        <v>119575.27222222222</v>
      </c>
      <c r="Y139" s="54">
        <v>2726156.8</v>
      </c>
      <c r="Z139" s="54">
        <v>2143724.1333333333</v>
      </c>
      <c r="AA139" s="54">
        <v>4869880.9333333336</v>
      </c>
      <c r="AB139" s="54">
        <v>22.734375</v>
      </c>
      <c r="AC139" s="54">
        <v>17</v>
      </c>
      <c r="AD139" s="54">
        <v>7.0576923076923075</v>
      </c>
      <c r="AE139" s="54">
        <v>3277215.9824999995</v>
      </c>
      <c r="AF139" s="54">
        <v>3139098.2609999999</v>
      </c>
      <c r="AG139" s="54">
        <v>162491.43705882353</v>
      </c>
      <c r="AH139" s="54">
        <v>1593105.9355555556</v>
      </c>
      <c r="AI139" s="54">
        <v>124546.58749999999</v>
      </c>
      <c r="AJ139" s="54">
        <v>1641286.1014999999</v>
      </c>
      <c r="AK139" s="54">
        <v>725462.34050000005</v>
      </c>
      <c r="AL139" s="54">
        <v>18893.798999999999</v>
      </c>
      <c r="AM139" s="54">
        <v>896929.96200000006</v>
      </c>
      <c r="AN139" s="54">
        <v>97768.75</v>
      </c>
      <c r="AO139" s="54">
        <v>77198.87</v>
      </c>
      <c r="AP139" s="54">
        <v>205768.83333333334</v>
      </c>
      <c r="AQ139" s="54">
        <v>30288.2</v>
      </c>
      <c r="AR139" s="54">
        <v>94587.372499999998</v>
      </c>
      <c r="AS139" s="54">
        <v>18031.396000000001</v>
      </c>
      <c r="AT139" s="54">
        <v>24183.583333333332</v>
      </c>
      <c r="AU139" s="54">
        <v>1375785.7085000002</v>
      </c>
      <c r="AV139" s="54">
        <v>832988.39249999996</v>
      </c>
      <c r="AW139" s="54">
        <v>2208774.1009999998</v>
      </c>
      <c r="AX139" s="54">
        <v>18.587499999999999</v>
      </c>
      <c r="AY139" s="54">
        <v>11.3925</v>
      </c>
      <c r="AZ139" s="54">
        <v>8.4647058823529413</v>
      </c>
      <c r="BA139" s="54" t="s">
        <v>343</v>
      </c>
      <c r="BB139" s="54" t="s">
        <v>372</v>
      </c>
    </row>
    <row r="140" spans="1:54" x14ac:dyDescent="0.25">
      <c r="A140" s="54">
        <v>484</v>
      </c>
      <c r="B140" s="54">
        <v>2010</v>
      </c>
      <c r="C140" s="88" t="s">
        <v>81</v>
      </c>
      <c r="D140" s="54" t="s">
        <v>6</v>
      </c>
      <c r="E140" s="54" t="s">
        <v>79</v>
      </c>
      <c r="F140" s="54" t="str">
        <f>_xlfn.CONCAT(Table13[[#This Row],[Geographic Scope]],": ",Table13[[#This Row],[Sub-Type/Focus]])</f>
        <v>National: Single-Topic</v>
      </c>
      <c r="G140" s="54" t="str">
        <f>_xlfn.CONCAT(Table13[[#This Row],[Geographic Scope]],": ",Table13[[#This Row],[Sub-Type/Focus]],": ",Table13[[#This Row],[Content Type]])</f>
        <v>National: Single-Topic: Investigative</v>
      </c>
      <c r="H140" s="54" t="str">
        <f>_xlfn.CONCAT(Table13[[#This Row],[Geographic Scope]],": ",Table13[[#This Row],[Content Type]])</f>
        <v>National: Investigative</v>
      </c>
      <c r="I140" s="55">
        <v>4628662.2569230776</v>
      </c>
      <c r="J140" s="55">
        <v>4455683.3761538463</v>
      </c>
      <c r="K140" s="55">
        <v>187393.78750000001</v>
      </c>
      <c r="L140" s="54">
        <v>2094934.8691666666</v>
      </c>
      <c r="M140" s="54">
        <v>1156615.46</v>
      </c>
      <c r="N140" s="54">
        <v>2290264.1953846151</v>
      </c>
      <c r="O140" s="54">
        <v>1420062.1184615383</v>
      </c>
      <c r="P140" s="54">
        <v>54998.307692307695</v>
      </c>
      <c r="Q140" s="54">
        <v>815203.76923076925</v>
      </c>
      <c r="R140" s="54">
        <v>174500</v>
      </c>
      <c r="S140" s="54">
        <v>56713.571428571428</v>
      </c>
      <c r="T140" s="54">
        <v>164065.25</v>
      </c>
      <c r="U140" s="54">
        <v>11999</v>
      </c>
      <c r="V140" s="54">
        <v>59330</v>
      </c>
      <c r="W140" s="54">
        <v>17982</v>
      </c>
      <c r="X140" s="54">
        <v>119575.27222222222</v>
      </c>
      <c r="Y140" s="54">
        <v>2726156.8</v>
      </c>
      <c r="Z140" s="54">
        <v>2143724.1333333333</v>
      </c>
      <c r="AA140" s="54">
        <v>4869880.9333333336</v>
      </c>
      <c r="AB140" s="54">
        <v>22.734375</v>
      </c>
      <c r="AC140" s="54">
        <v>17</v>
      </c>
      <c r="AD140" s="54">
        <v>7.0576923076923075</v>
      </c>
      <c r="AE140" s="54">
        <v>3277215.9824999995</v>
      </c>
      <c r="AF140" s="54">
        <v>3139098.2609999999</v>
      </c>
      <c r="AG140" s="54">
        <v>162491.43705882353</v>
      </c>
      <c r="AH140" s="54">
        <v>1593105.9355555556</v>
      </c>
      <c r="AI140" s="54">
        <v>124546.58749999999</v>
      </c>
      <c r="AJ140" s="54">
        <v>1641286.1014999999</v>
      </c>
      <c r="AK140" s="54">
        <v>725462.34050000005</v>
      </c>
      <c r="AL140" s="54">
        <v>18893.798999999999</v>
      </c>
      <c r="AM140" s="54">
        <v>896929.96200000006</v>
      </c>
      <c r="AN140" s="54">
        <v>97768.75</v>
      </c>
      <c r="AO140" s="54">
        <v>77198.87</v>
      </c>
      <c r="AP140" s="54">
        <v>205768.83333333334</v>
      </c>
      <c r="AQ140" s="54">
        <v>30288.2</v>
      </c>
      <c r="AR140" s="54">
        <v>94587.372499999998</v>
      </c>
      <c r="AS140" s="54">
        <v>18031.396000000001</v>
      </c>
      <c r="AT140" s="54">
        <v>24183.583333333332</v>
      </c>
      <c r="AU140" s="54">
        <v>1375785.7085000002</v>
      </c>
      <c r="AV140" s="54">
        <v>832988.39249999996</v>
      </c>
      <c r="AW140" s="54">
        <v>2208774.1009999998</v>
      </c>
      <c r="AX140" s="54">
        <v>18.587499999999999</v>
      </c>
      <c r="AY140" s="54">
        <v>11.3925</v>
      </c>
      <c r="AZ140" s="54">
        <v>8.4647058823529413</v>
      </c>
      <c r="BA140" s="54" t="s">
        <v>343</v>
      </c>
      <c r="BB140" s="54" t="s">
        <v>377</v>
      </c>
    </row>
    <row r="141" spans="1:54" x14ac:dyDescent="0.25">
      <c r="A141" s="54">
        <v>488</v>
      </c>
      <c r="B141" s="54">
        <v>2014</v>
      </c>
      <c r="C141" s="88" t="s">
        <v>81</v>
      </c>
      <c r="D141" s="54" t="s">
        <v>6</v>
      </c>
      <c r="E141" s="54" t="s">
        <v>79</v>
      </c>
      <c r="F141" s="54" t="str">
        <f>_xlfn.CONCAT(Table13[[#This Row],[Geographic Scope]],": ",Table13[[#This Row],[Sub-Type/Focus]])</f>
        <v>National: Single-Topic</v>
      </c>
      <c r="G141" s="54" t="str">
        <f>_xlfn.CONCAT(Table13[[#This Row],[Geographic Scope]],": ",Table13[[#This Row],[Sub-Type/Focus]],": ",Table13[[#This Row],[Content Type]])</f>
        <v>National: Single-Topic: Investigative</v>
      </c>
      <c r="H141" s="54" t="str">
        <f>_xlfn.CONCAT(Table13[[#This Row],[Geographic Scope]],": ",Table13[[#This Row],[Content Type]])</f>
        <v>National: Investigative</v>
      </c>
      <c r="I141" s="55">
        <v>4628662.2569230776</v>
      </c>
      <c r="J141" s="55">
        <v>4455683.3761538463</v>
      </c>
      <c r="K141" s="55">
        <v>187393.78750000001</v>
      </c>
      <c r="L141" s="54">
        <v>2094934.8691666666</v>
      </c>
      <c r="M141" s="54">
        <v>1156615.46</v>
      </c>
      <c r="N141" s="54">
        <v>2290264.1953846151</v>
      </c>
      <c r="O141" s="54">
        <v>1420062.1184615383</v>
      </c>
      <c r="P141" s="54">
        <v>54998.307692307695</v>
      </c>
      <c r="Q141" s="54">
        <v>815203.76923076925</v>
      </c>
      <c r="R141" s="54">
        <v>174500</v>
      </c>
      <c r="S141" s="54">
        <v>56713.571428571428</v>
      </c>
      <c r="T141" s="54">
        <v>164065.25</v>
      </c>
      <c r="U141" s="54">
        <v>11999</v>
      </c>
      <c r="V141" s="54">
        <v>59330</v>
      </c>
      <c r="W141" s="54">
        <v>17982</v>
      </c>
      <c r="X141" s="54">
        <v>119575.27222222222</v>
      </c>
      <c r="Y141" s="54">
        <v>2726156.8</v>
      </c>
      <c r="Z141" s="54">
        <v>2143724.1333333333</v>
      </c>
      <c r="AA141" s="54">
        <v>4869880.9333333336</v>
      </c>
      <c r="AB141" s="54">
        <v>22.734375</v>
      </c>
      <c r="AC141" s="54">
        <v>17</v>
      </c>
      <c r="AD141" s="54">
        <v>7.0576923076923075</v>
      </c>
      <c r="AE141" s="54">
        <v>3277215.9824999995</v>
      </c>
      <c r="AF141" s="54">
        <v>3139098.2609999999</v>
      </c>
      <c r="AG141" s="54">
        <v>162491.43705882353</v>
      </c>
      <c r="AH141" s="54">
        <v>1593105.9355555556</v>
      </c>
      <c r="AI141" s="54">
        <v>124546.58749999999</v>
      </c>
      <c r="AJ141" s="54">
        <v>1641286.1014999999</v>
      </c>
      <c r="AK141" s="54">
        <v>725462.34050000005</v>
      </c>
      <c r="AL141" s="54">
        <v>18893.798999999999</v>
      </c>
      <c r="AM141" s="54">
        <v>896929.96200000006</v>
      </c>
      <c r="AN141" s="54">
        <v>97768.75</v>
      </c>
      <c r="AO141" s="54">
        <v>77198.87</v>
      </c>
      <c r="AP141" s="54">
        <v>205768.83333333334</v>
      </c>
      <c r="AQ141" s="54">
        <v>30288.2</v>
      </c>
      <c r="AR141" s="54">
        <v>94587.372499999998</v>
      </c>
      <c r="AS141" s="54">
        <v>18031.396000000001</v>
      </c>
      <c r="AT141" s="54">
        <v>24183.583333333332</v>
      </c>
      <c r="AU141" s="54">
        <v>1375785.7085000002</v>
      </c>
      <c r="AV141" s="54">
        <v>832988.39249999996</v>
      </c>
      <c r="AW141" s="54">
        <v>2208774.1009999998</v>
      </c>
      <c r="AX141" s="54">
        <v>18.587499999999999</v>
      </c>
      <c r="AY141" s="54">
        <v>11.3925</v>
      </c>
      <c r="AZ141" s="54">
        <v>8.4647058823529413</v>
      </c>
      <c r="BA141" s="54" t="s">
        <v>339</v>
      </c>
      <c r="BB141" s="54" t="s">
        <v>365</v>
      </c>
    </row>
    <row r="142" spans="1:54" x14ac:dyDescent="0.25">
      <c r="A142" s="54">
        <v>2527</v>
      </c>
      <c r="B142" s="54">
        <v>2013</v>
      </c>
      <c r="C142" s="88" t="s">
        <v>81</v>
      </c>
      <c r="D142" s="54" t="s">
        <v>6</v>
      </c>
      <c r="E142" s="54" t="s">
        <v>79</v>
      </c>
      <c r="F142" s="54" t="str">
        <f>_xlfn.CONCAT(Table13[[#This Row],[Geographic Scope]],": ",Table13[[#This Row],[Sub-Type/Focus]])</f>
        <v>National: Single-Topic</v>
      </c>
      <c r="G142" s="54" t="str">
        <f>_xlfn.CONCAT(Table13[[#This Row],[Geographic Scope]],": ",Table13[[#This Row],[Sub-Type/Focus]],": ",Table13[[#This Row],[Content Type]])</f>
        <v>National: Single-Topic: Investigative</v>
      </c>
      <c r="H142" s="54" t="str">
        <f>_xlfn.CONCAT(Table13[[#This Row],[Geographic Scope]],": ",Table13[[#This Row],[Content Type]])</f>
        <v>National: Investigative</v>
      </c>
      <c r="I142" s="55">
        <v>4628662.2569230776</v>
      </c>
      <c r="J142" s="55">
        <v>4455683.3761538463</v>
      </c>
      <c r="K142" s="55">
        <v>187393.78750000001</v>
      </c>
      <c r="L142" s="54">
        <v>2094934.8691666666</v>
      </c>
      <c r="M142" s="54">
        <v>1156615.46</v>
      </c>
      <c r="N142" s="54">
        <v>2290264.1953846151</v>
      </c>
      <c r="O142" s="54">
        <v>1420062.1184615383</v>
      </c>
      <c r="P142" s="54">
        <v>54998.307692307695</v>
      </c>
      <c r="Q142" s="54">
        <v>815203.76923076925</v>
      </c>
      <c r="R142" s="54">
        <v>174500</v>
      </c>
      <c r="S142" s="54">
        <v>56713.571428571428</v>
      </c>
      <c r="T142" s="54">
        <v>164065.25</v>
      </c>
      <c r="U142" s="54">
        <v>11999</v>
      </c>
      <c r="V142" s="54">
        <v>59330</v>
      </c>
      <c r="W142" s="54">
        <v>17982</v>
      </c>
      <c r="X142" s="54">
        <v>119575.27222222222</v>
      </c>
      <c r="Y142" s="54">
        <v>2726156.8</v>
      </c>
      <c r="Z142" s="54">
        <v>2143724.1333333333</v>
      </c>
      <c r="AA142" s="54">
        <v>4869880.9333333336</v>
      </c>
      <c r="AB142" s="54">
        <v>22.734375</v>
      </c>
      <c r="AC142" s="54">
        <v>17</v>
      </c>
      <c r="AD142" s="54">
        <v>7.0576923076923075</v>
      </c>
      <c r="AE142" s="54">
        <v>3277215.9824999995</v>
      </c>
      <c r="AF142" s="54">
        <v>3139098.2609999999</v>
      </c>
      <c r="AG142" s="54">
        <v>162491.43705882353</v>
      </c>
      <c r="AH142" s="54">
        <v>1593105.9355555556</v>
      </c>
      <c r="AI142" s="54">
        <v>124546.58749999999</v>
      </c>
      <c r="AJ142" s="54">
        <v>1641286.1014999999</v>
      </c>
      <c r="AK142" s="54">
        <v>725462.34050000005</v>
      </c>
      <c r="AL142" s="54">
        <v>18893.798999999999</v>
      </c>
      <c r="AM142" s="54">
        <v>896929.96200000006</v>
      </c>
      <c r="AN142" s="54">
        <v>97768.75</v>
      </c>
      <c r="AO142" s="54">
        <v>77198.87</v>
      </c>
      <c r="AP142" s="54">
        <v>205768.83333333334</v>
      </c>
      <c r="AQ142" s="54">
        <v>30288.2</v>
      </c>
      <c r="AR142" s="54">
        <v>94587.372499999998</v>
      </c>
      <c r="AS142" s="54">
        <v>18031.396000000001</v>
      </c>
      <c r="AT142" s="54">
        <v>24183.583333333332</v>
      </c>
      <c r="AU142" s="54">
        <v>1375785.7085000002</v>
      </c>
      <c r="AV142" s="54">
        <v>832988.39249999996</v>
      </c>
      <c r="AW142" s="54">
        <v>2208774.1009999998</v>
      </c>
      <c r="AX142" s="54">
        <v>18.587499999999999</v>
      </c>
      <c r="AY142" s="54">
        <v>11.3925</v>
      </c>
      <c r="AZ142" s="54">
        <v>8.4647058823529413</v>
      </c>
      <c r="BA142" s="54" t="s">
        <v>373</v>
      </c>
      <c r="BB142" s="54" t="s">
        <v>352</v>
      </c>
    </row>
    <row r="143" spans="1:54" x14ac:dyDescent="0.25">
      <c r="A143" s="54">
        <v>510</v>
      </c>
      <c r="B143" s="54">
        <v>1954</v>
      </c>
      <c r="C143" s="88" t="s">
        <v>82</v>
      </c>
      <c r="D143" s="54" t="s">
        <v>378</v>
      </c>
      <c r="E143" s="54" t="s">
        <v>77</v>
      </c>
      <c r="F143" s="54" t="str">
        <f>_xlfn.CONCAT(Table13[[#This Row],[Geographic Scope]],": ",Table13[[#This Row],[Sub-Type/Focus]])</f>
        <v>Regional: General</v>
      </c>
      <c r="G143" s="54" t="str">
        <f>_xlfn.CONCAT(Table13[[#This Row],[Geographic Scope]],": ",Table13[[#This Row],[Sub-Type/Focus]],": ",Table13[[#This Row],[Content Type]])</f>
        <v>Regional: General: Current News &amp; Events</v>
      </c>
      <c r="H143" s="54" t="str">
        <f>_xlfn.CONCAT(Table13[[#This Row],[Geographic Scope]],": ",Table13[[#This Row],[Content Type]])</f>
        <v>Regional: Current News &amp; Events</v>
      </c>
      <c r="I143" s="55">
        <v>258487.5</v>
      </c>
      <c r="J143" s="55">
        <v>234418.5</v>
      </c>
      <c r="K143" s="55">
        <v>48138</v>
      </c>
      <c r="L143" s="54">
        <v>222052</v>
      </c>
      <c r="M143" s="54">
        <v>0</v>
      </c>
      <c r="N143" s="54">
        <v>11616.5</v>
      </c>
      <c r="O143" s="54">
        <v>5607</v>
      </c>
      <c r="P143" s="54">
        <v>2259.5</v>
      </c>
      <c r="Q143" s="54">
        <v>3750</v>
      </c>
      <c r="R143" s="54">
        <v>3000</v>
      </c>
      <c r="S143" s="54">
        <v>0</v>
      </c>
      <c r="T143" s="54">
        <v>0</v>
      </c>
      <c r="U143" s="54">
        <v>0</v>
      </c>
      <c r="V143" s="54">
        <v>0</v>
      </c>
      <c r="W143" s="54">
        <v>1095</v>
      </c>
      <c r="X143" s="54">
        <v>95181</v>
      </c>
      <c r="Y143" s="54">
        <v>194600</v>
      </c>
      <c r="Z143" s="54">
        <v>632100.80000000005</v>
      </c>
      <c r="AA143" s="54">
        <v>826700.80000000005</v>
      </c>
      <c r="AB143" s="54">
        <v>12.571428571428571</v>
      </c>
      <c r="AC143" s="54">
        <v>6.25</v>
      </c>
      <c r="AD143" s="54">
        <v>11.0625</v>
      </c>
      <c r="AE143" s="54">
        <v>2976577.5579999997</v>
      </c>
      <c r="AF143" s="54">
        <v>2136187.358</v>
      </c>
      <c r="AG143" s="54">
        <v>840390.2</v>
      </c>
      <c r="AH143" s="54">
        <v>154872.75</v>
      </c>
      <c r="AI143" s="54">
        <v>18760</v>
      </c>
      <c r="AJ143" s="54">
        <v>2436495.6974999998</v>
      </c>
      <c r="AK143" s="54">
        <v>1047916.7</v>
      </c>
      <c r="AL143" s="54">
        <v>299559.87199999997</v>
      </c>
      <c r="AM143" s="54">
        <v>601719.98599999992</v>
      </c>
      <c r="AN143" s="54">
        <v>277943</v>
      </c>
      <c r="AO143" s="54">
        <v>108384</v>
      </c>
      <c r="AP143" s="54">
        <v>646976</v>
      </c>
      <c r="AQ143" s="54">
        <v>80483.5</v>
      </c>
      <c r="AR143" s="54">
        <v>914811</v>
      </c>
      <c r="AS143" s="54">
        <v>6129</v>
      </c>
      <c r="AT143" s="54">
        <v>141252</v>
      </c>
      <c r="AU143" s="54">
        <v>1657087.8</v>
      </c>
      <c r="AV143" s="54">
        <v>1667014.8</v>
      </c>
      <c r="AW143" s="54">
        <v>3324102.6</v>
      </c>
      <c r="AX143" s="54">
        <v>24.75</v>
      </c>
      <c r="AY143" s="54">
        <v>13.61</v>
      </c>
      <c r="AZ143" s="54">
        <v>13.925000000000001</v>
      </c>
      <c r="BA143" s="54" t="s">
        <v>343</v>
      </c>
      <c r="BB143" s="54" t="s">
        <v>376</v>
      </c>
    </row>
    <row r="144" spans="1:54" x14ac:dyDescent="0.25">
      <c r="A144" s="54">
        <v>2911</v>
      </c>
      <c r="B144" s="54">
        <v>1955</v>
      </c>
      <c r="C144" s="88" t="s">
        <v>82</v>
      </c>
      <c r="D144" s="54" t="s">
        <v>378</v>
      </c>
      <c r="E144" s="54" t="s">
        <v>77</v>
      </c>
      <c r="F144" s="54" t="str">
        <f>_xlfn.CONCAT(Table13[[#This Row],[Geographic Scope]],": ",Table13[[#This Row],[Sub-Type/Focus]])</f>
        <v>Regional: General</v>
      </c>
      <c r="G144" s="54" t="str">
        <f>_xlfn.CONCAT(Table13[[#This Row],[Geographic Scope]],": ",Table13[[#This Row],[Sub-Type/Focus]],": ",Table13[[#This Row],[Content Type]])</f>
        <v>Regional: General: Current News &amp; Events</v>
      </c>
      <c r="H144" s="54" t="str">
        <f>_xlfn.CONCAT(Table13[[#This Row],[Geographic Scope]],": ",Table13[[#This Row],[Content Type]])</f>
        <v>Regional: Current News &amp; Events</v>
      </c>
      <c r="I144" s="55">
        <v>258487.5</v>
      </c>
      <c r="J144" s="55">
        <v>234418.5</v>
      </c>
      <c r="K144" s="55">
        <v>48138</v>
      </c>
      <c r="L144" s="54">
        <v>222052</v>
      </c>
      <c r="M144" s="54">
        <v>0</v>
      </c>
      <c r="N144" s="54">
        <v>11616.5</v>
      </c>
      <c r="O144" s="54">
        <v>5607</v>
      </c>
      <c r="P144" s="54">
        <v>2259.5</v>
      </c>
      <c r="Q144" s="54">
        <v>3750</v>
      </c>
      <c r="R144" s="54">
        <v>3000</v>
      </c>
      <c r="S144" s="54">
        <v>0</v>
      </c>
      <c r="T144" s="54">
        <v>0</v>
      </c>
      <c r="U144" s="54">
        <v>0</v>
      </c>
      <c r="V144" s="54">
        <v>0</v>
      </c>
      <c r="W144" s="54">
        <v>1095</v>
      </c>
      <c r="X144" s="54">
        <v>95181</v>
      </c>
      <c r="Y144" s="54">
        <v>194600</v>
      </c>
      <c r="Z144" s="54">
        <v>632100.80000000005</v>
      </c>
      <c r="AA144" s="54">
        <v>826700.80000000005</v>
      </c>
      <c r="AB144" s="54">
        <v>12.571428571428571</v>
      </c>
      <c r="AC144" s="54">
        <v>6.25</v>
      </c>
      <c r="AD144" s="54">
        <v>11.0625</v>
      </c>
      <c r="AE144" s="54">
        <v>2976577.5579999997</v>
      </c>
      <c r="AF144" s="54">
        <v>2136187.358</v>
      </c>
      <c r="AG144" s="54">
        <v>840390.2</v>
      </c>
      <c r="AH144" s="54">
        <v>154872.75</v>
      </c>
      <c r="AI144" s="54">
        <v>18760</v>
      </c>
      <c r="AJ144" s="54">
        <v>2436495.6974999998</v>
      </c>
      <c r="AK144" s="54">
        <v>1047916.7</v>
      </c>
      <c r="AL144" s="54">
        <v>299559.87199999997</v>
      </c>
      <c r="AM144" s="54">
        <v>601719.98599999992</v>
      </c>
      <c r="AN144" s="54">
        <v>277943</v>
      </c>
      <c r="AO144" s="54">
        <v>108384</v>
      </c>
      <c r="AP144" s="54">
        <v>646976</v>
      </c>
      <c r="AQ144" s="54">
        <v>80483.5</v>
      </c>
      <c r="AR144" s="54">
        <v>914811</v>
      </c>
      <c r="AS144" s="54">
        <v>6129</v>
      </c>
      <c r="AT144" s="54">
        <v>141252</v>
      </c>
      <c r="AU144" s="54">
        <v>1657087.8</v>
      </c>
      <c r="AV144" s="54">
        <v>1667014.8</v>
      </c>
      <c r="AW144" s="54">
        <v>3324102.6</v>
      </c>
      <c r="AX144" s="54">
        <v>24.75</v>
      </c>
      <c r="AY144" s="54">
        <v>13.61</v>
      </c>
      <c r="AZ144" s="54">
        <v>13.925000000000001</v>
      </c>
      <c r="BA144" s="54" t="s">
        <v>373</v>
      </c>
      <c r="BB144" s="54" t="s">
        <v>352</v>
      </c>
    </row>
    <row r="145" spans="1:54" x14ac:dyDescent="0.25">
      <c r="A145" s="54">
        <v>2987</v>
      </c>
      <c r="B145" s="54">
        <v>2018</v>
      </c>
      <c r="C145" s="88" t="s">
        <v>82</v>
      </c>
      <c r="D145" s="54" t="s">
        <v>378</v>
      </c>
      <c r="E145" s="54" t="s">
        <v>77</v>
      </c>
      <c r="F145" s="54" t="str">
        <f>_xlfn.CONCAT(Table13[[#This Row],[Geographic Scope]],": ",Table13[[#This Row],[Sub-Type/Focus]])</f>
        <v>Regional: General</v>
      </c>
      <c r="G145" s="54" t="str">
        <f>_xlfn.CONCAT(Table13[[#This Row],[Geographic Scope]],": ",Table13[[#This Row],[Sub-Type/Focus]],": ",Table13[[#This Row],[Content Type]])</f>
        <v>Regional: General: Current News &amp; Events</v>
      </c>
      <c r="H145" s="54" t="str">
        <f>_xlfn.CONCAT(Table13[[#This Row],[Geographic Scope]],": ",Table13[[#This Row],[Content Type]])</f>
        <v>Regional: Current News &amp; Events</v>
      </c>
      <c r="I145" s="55">
        <v>258487.5</v>
      </c>
      <c r="J145" s="55">
        <v>234418.5</v>
      </c>
      <c r="K145" s="55">
        <v>48138</v>
      </c>
      <c r="L145" s="54">
        <v>222052</v>
      </c>
      <c r="M145" s="54">
        <v>0</v>
      </c>
      <c r="N145" s="54">
        <v>11616.5</v>
      </c>
      <c r="O145" s="54">
        <v>5607</v>
      </c>
      <c r="P145" s="54">
        <v>2259.5</v>
      </c>
      <c r="Q145" s="54">
        <v>3750</v>
      </c>
      <c r="R145" s="54">
        <v>3000</v>
      </c>
      <c r="S145" s="54">
        <v>0</v>
      </c>
      <c r="T145" s="54">
        <v>0</v>
      </c>
      <c r="U145" s="54">
        <v>0</v>
      </c>
      <c r="V145" s="54">
        <v>0</v>
      </c>
      <c r="W145" s="54">
        <v>1095</v>
      </c>
      <c r="X145" s="54">
        <v>95181</v>
      </c>
      <c r="Y145" s="54">
        <v>194600</v>
      </c>
      <c r="Z145" s="54">
        <v>632100.80000000005</v>
      </c>
      <c r="AA145" s="54">
        <v>826700.80000000005</v>
      </c>
      <c r="AB145" s="54">
        <v>12.571428571428571</v>
      </c>
      <c r="AC145" s="54">
        <v>6.25</v>
      </c>
      <c r="AD145" s="54">
        <v>11.0625</v>
      </c>
      <c r="AE145" s="54">
        <v>2976577.5579999997</v>
      </c>
      <c r="AF145" s="54">
        <v>2136187.358</v>
      </c>
      <c r="AG145" s="54">
        <v>840390.2</v>
      </c>
      <c r="AH145" s="54">
        <v>154872.75</v>
      </c>
      <c r="AI145" s="54">
        <v>18760</v>
      </c>
      <c r="AJ145" s="54">
        <v>2436495.6974999998</v>
      </c>
      <c r="AK145" s="54">
        <v>1047916.7</v>
      </c>
      <c r="AL145" s="54">
        <v>299559.87199999997</v>
      </c>
      <c r="AM145" s="54">
        <v>601719.98599999992</v>
      </c>
      <c r="AN145" s="54">
        <v>277943</v>
      </c>
      <c r="AO145" s="54">
        <v>108384</v>
      </c>
      <c r="AP145" s="54">
        <v>646976</v>
      </c>
      <c r="AQ145" s="54">
        <v>80483.5</v>
      </c>
      <c r="AR145" s="54">
        <v>914811</v>
      </c>
      <c r="AS145" s="54">
        <v>6129</v>
      </c>
      <c r="AT145" s="54">
        <v>141252</v>
      </c>
      <c r="AU145" s="54">
        <v>1657087.8</v>
      </c>
      <c r="AV145" s="54">
        <v>1667014.8</v>
      </c>
      <c r="AW145" s="54">
        <v>3324102.6</v>
      </c>
      <c r="AX145" s="54">
        <v>24.75</v>
      </c>
      <c r="AY145" s="54">
        <v>13.61</v>
      </c>
      <c r="AZ145" s="54">
        <v>13.925000000000001</v>
      </c>
      <c r="BA145" s="54" t="s">
        <v>379</v>
      </c>
      <c r="BB145" s="54" t="s">
        <v>342</v>
      </c>
    </row>
    <row r="146" spans="1:54" x14ac:dyDescent="0.25">
      <c r="A146" s="54">
        <v>6834</v>
      </c>
      <c r="B146" s="54">
        <v>1998</v>
      </c>
      <c r="C146" s="88" t="s">
        <v>82</v>
      </c>
      <c r="D146" s="54" t="s">
        <v>378</v>
      </c>
      <c r="E146" s="54" t="s">
        <v>77</v>
      </c>
      <c r="F146" s="54" t="str">
        <f>_xlfn.CONCAT(Table13[[#This Row],[Geographic Scope]],": ",Table13[[#This Row],[Sub-Type/Focus]])</f>
        <v>Regional: General</v>
      </c>
      <c r="G146" s="54" t="str">
        <f>_xlfn.CONCAT(Table13[[#This Row],[Geographic Scope]],": ",Table13[[#This Row],[Sub-Type/Focus]],": ",Table13[[#This Row],[Content Type]])</f>
        <v>Regional: General: Current News &amp; Events</v>
      </c>
      <c r="H146" s="54" t="str">
        <f>_xlfn.CONCAT(Table13[[#This Row],[Geographic Scope]],": ",Table13[[#This Row],[Content Type]])</f>
        <v>Regional: Current News &amp; Events</v>
      </c>
      <c r="I146" s="55">
        <v>258487.5</v>
      </c>
      <c r="J146" s="55">
        <v>234418.5</v>
      </c>
      <c r="K146" s="55">
        <v>48138</v>
      </c>
      <c r="L146" s="54">
        <v>222052</v>
      </c>
      <c r="M146" s="54">
        <v>0</v>
      </c>
      <c r="N146" s="54">
        <v>11616.5</v>
      </c>
      <c r="O146" s="54">
        <v>5607</v>
      </c>
      <c r="P146" s="54">
        <v>2259.5</v>
      </c>
      <c r="Q146" s="54">
        <v>3750</v>
      </c>
      <c r="R146" s="54">
        <v>3000</v>
      </c>
      <c r="S146" s="54">
        <v>0</v>
      </c>
      <c r="T146" s="54">
        <v>0</v>
      </c>
      <c r="U146" s="54">
        <v>0</v>
      </c>
      <c r="V146" s="54">
        <v>0</v>
      </c>
      <c r="W146" s="54">
        <v>1095</v>
      </c>
      <c r="X146" s="54">
        <v>95181</v>
      </c>
      <c r="Y146" s="54">
        <v>194600</v>
      </c>
      <c r="Z146" s="54">
        <v>632100.80000000005</v>
      </c>
      <c r="AA146" s="54">
        <v>826700.80000000005</v>
      </c>
      <c r="AB146" s="54">
        <v>12.571428571428571</v>
      </c>
      <c r="AC146" s="54">
        <v>6.25</v>
      </c>
      <c r="AD146" s="54">
        <v>11.0625</v>
      </c>
      <c r="AE146" s="54">
        <v>2976577.5579999997</v>
      </c>
      <c r="AF146" s="54">
        <v>2136187.358</v>
      </c>
      <c r="AG146" s="54">
        <v>840390.2</v>
      </c>
      <c r="AH146" s="54">
        <v>154872.75</v>
      </c>
      <c r="AI146" s="54">
        <v>18760</v>
      </c>
      <c r="AJ146" s="54">
        <v>2436495.6974999998</v>
      </c>
      <c r="AK146" s="54">
        <v>1047916.7</v>
      </c>
      <c r="AL146" s="54">
        <v>299559.87199999997</v>
      </c>
      <c r="AM146" s="54">
        <v>601719.98599999992</v>
      </c>
      <c r="AN146" s="54">
        <v>277943</v>
      </c>
      <c r="AO146" s="54">
        <v>108384</v>
      </c>
      <c r="AP146" s="54">
        <v>646976</v>
      </c>
      <c r="AQ146" s="54">
        <v>80483.5</v>
      </c>
      <c r="AR146" s="54">
        <v>914811</v>
      </c>
      <c r="AS146" s="54">
        <v>6129</v>
      </c>
      <c r="AT146" s="54">
        <v>141252</v>
      </c>
      <c r="AU146" s="54">
        <v>1657087.8</v>
      </c>
      <c r="AV146" s="54">
        <v>1667014.8</v>
      </c>
      <c r="AW146" s="54">
        <v>3324102.6</v>
      </c>
      <c r="AX146" s="54">
        <v>24.75</v>
      </c>
      <c r="AY146" s="54">
        <v>13.61</v>
      </c>
      <c r="AZ146" s="54">
        <v>13.925000000000001</v>
      </c>
      <c r="BA146" s="54" t="s">
        <v>343</v>
      </c>
      <c r="BB146" s="54" t="s">
        <v>359</v>
      </c>
    </row>
    <row r="147" spans="1:54" x14ac:dyDescent="0.25">
      <c r="A147" s="54">
        <v>337</v>
      </c>
      <c r="B147" s="54">
        <v>2009</v>
      </c>
      <c r="C147" s="88" t="s">
        <v>82</v>
      </c>
      <c r="D147" s="54" t="s">
        <v>378</v>
      </c>
      <c r="E147" s="54" t="s">
        <v>78</v>
      </c>
      <c r="F147" s="54" t="str">
        <f>_xlfn.CONCAT(Table13[[#This Row],[Geographic Scope]],": ",Table13[[#This Row],[Sub-Type/Focus]])</f>
        <v>Regional: Multiple Related Topics</v>
      </c>
      <c r="G147" s="54" t="str">
        <f>_xlfn.CONCAT(Table13[[#This Row],[Geographic Scope]],": ",Table13[[#This Row],[Sub-Type/Focus]],": ",Table13[[#This Row],[Content Type]])</f>
        <v>Regional: Multiple Related Topics: Current News &amp; Events</v>
      </c>
      <c r="H147" s="54" t="str">
        <f>_xlfn.CONCAT(Table13[[#This Row],[Geographic Scope]],": ",Table13[[#This Row],[Content Type]])</f>
        <v>Regional: Current News &amp; Events</v>
      </c>
      <c r="I147" s="55">
        <v>258487.5</v>
      </c>
      <c r="J147" s="55">
        <v>234418.5</v>
      </c>
      <c r="K147" s="55">
        <v>48138</v>
      </c>
      <c r="L147" s="54">
        <v>222052</v>
      </c>
      <c r="M147" s="54">
        <v>0</v>
      </c>
      <c r="N147" s="54">
        <v>11616.5</v>
      </c>
      <c r="O147" s="54">
        <v>5607</v>
      </c>
      <c r="P147" s="54">
        <v>2259.5</v>
      </c>
      <c r="Q147" s="54">
        <v>3750</v>
      </c>
      <c r="R147" s="54">
        <v>3000</v>
      </c>
      <c r="S147" s="54">
        <v>0</v>
      </c>
      <c r="T147" s="54">
        <v>0</v>
      </c>
      <c r="U147" s="54">
        <v>0</v>
      </c>
      <c r="V147" s="54">
        <v>0</v>
      </c>
      <c r="W147" s="54">
        <v>1095</v>
      </c>
      <c r="X147" s="54">
        <v>95181</v>
      </c>
      <c r="Y147" s="54">
        <v>194600</v>
      </c>
      <c r="Z147" s="54">
        <v>632100.80000000005</v>
      </c>
      <c r="AA147" s="54">
        <v>826700.80000000005</v>
      </c>
      <c r="AB147" s="54">
        <v>12.571428571428571</v>
      </c>
      <c r="AC147" s="54">
        <v>6.25</v>
      </c>
      <c r="AD147" s="54">
        <v>11.0625</v>
      </c>
      <c r="AE147" s="54">
        <v>379217.72600000002</v>
      </c>
      <c r="AF147" s="54">
        <v>298977.52600000001</v>
      </c>
      <c r="AG147" s="54">
        <v>133733.66666666666</v>
      </c>
      <c r="AH147" s="54">
        <v>153498.6</v>
      </c>
      <c r="AI147" s="54">
        <v>81765.666666666672</v>
      </c>
      <c r="AJ147" s="54">
        <v>134388.02888888889</v>
      </c>
      <c r="AK147" s="54">
        <v>25395.008000000002</v>
      </c>
      <c r="AL147" s="54">
        <v>15304.018</v>
      </c>
      <c r="AM147" s="54">
        <v>80250.2</v>
      </c>
      <c r="AN147" s="54">
        <v>0</v>
      </c>
      <c r="AO147" s="54">
        <v>109112.5</v>
      </c>
      <c r="AP147" s="54">
        <v>94579</v>
      </c>
      <c r="AQ147" s="54">
        <v>7690.333333333333</v>
      </c>
      <c r="AR147" s="54">
        <v>240996</v>
      </c>
      <c r="AS147" s="54">
        <v>5000</v>
      </c>
      <c r="AT147" s="54">
        <v>73510.333333333328</v>
      </c>
      <c r="AU147" s="54">
        <v>155283.5</v>
      </c>
      <c r="AV147" s="54">
        <v>181692.75</v>
      </c>
      <c r="AW147" s="54">
        <v>336976.25</v>
      </c>
      <c r="AX147" s="54">
        <v>7.8863636363636367</v>
      </c>
      <c r="AY147" s="54">
        <v>6.1363636363636367</v>
      </c>
      <c r="AZ147" s="54">
        <v>2.75</v>
      </c>
      <c r="BA147" s="54" t="s">
        <v>342</v>
      </c>
      <c r="BB147" s="54" t="s">
        <v>371</v>
      </c>
    </row>
    <row r="148" spans="1:54" x14ac:dyDescent="0.25">
      <c r="A148" s="54">
        <v>407</v>
      </c>
      <c r="B148" s="54">
        <v>2010</v>
      </c>
      <c r="C148" s="88" t="s">
        <v>82</v>
      </c>
      <c r="D148" s="54" t="s">
        <v>378</v>
      </c>
      <c r="E148" s="54" t="s">
        <v>78</v>
      </c>
      <c r="F148" s="54" t="str">
        <f>_xlfn.CONCAT(Table13[[#This Row],[Geographic Scope]],": ",Table13[[#This Row],[Sub-Type/Focus]])</f>
        <v>Regional: Multiple Related Topics</v>
      </c>
      <c r="G148" s="54" t="str">
        <f>_xlfn.CONCAT(Table13[[#This Row],[Geographic Scope]],": ",Table13[[#This Row],[Sub-Type/Focus]],": ",Table13[[#This Row],[Content Type]])</f>
        <v>Regional: Multiple Related Topics: Current News &amp; Events</v>
      </c>
      <c r="H148" s="54" t="str">
        <f>_xlfn.CONCAT(Table13[[#This Row],[Geographic Scope]],": ",Table13[[#This Row],[Content Type]])</f>
        <v>Regional: Current News &amp; Events</v>
      </c>
      <c r="I148" s="55">
        <v>258487.5</v>
      </c>
      <c r="J148" s="55">
        <v>234418.5</v>
      </c>
      <c r="K148" s="55">
        <v>48138</v>
      </c>
      <c r="L148" s="54">
        <v>222052</v>
      </c>
      <c r="M148" s="54">
        <v>0</v>
      </c>
      <c r="N148" s="54">
        <v>11616.5</v>
      </c>
      <c r="O148" s="54">
        <v>5607</v>
      </c>
      <c r="P148" s="54">
        <v>2259.5</v>
      </c>
      <c r="Q148" s="54">
        <v>3750</v>
      </c>
      <c r="R148" s="54">
        <v>3000</v>
      </c>
      <c r="S148" s="54">
        <v>0</v>
      </c>
      <c r="T148" s="54">
        <v>0</v>
      </c>
      <c r="U148" s="54">
        <v>0</v>
      </c>
      <c r="V148" s="54">
        <v>0</v>
      </c>
      <c r="W148" s="54">
        <v>1095</v>
      </c>
      <c r="X148" s="54">
        <v>95181</v>
      </c>
      <c r="Y148" s="54">
        <v>194600</v>
      </c>
      <c r="Z148" s="54">
        <v>632100.80000000005</v>
      </c>
      <c r="AA148" s="54">
        <v>826700.80000000005</v>
      </c>
      <c r="AB148" s="54">
        <v>12.571428571428571</v>
      </c>
      <c r="AC148" s="54">
        <v>6.25</v>
      </c>
      <c r="AD148" s="54">
        <v>11.0625</v>
      </c>
      <c r="AE148" s="54">
        <v>379217.72600000002</v>
      </c>
      <c r="AF148" s="54">
        <v>298977.52600000001</v>
      </c>
      <c r="AG148" s="54">
        <v>133733.66666666666</v>
      </c>
      <c r="AH148" s="54">
        <v>153498.6</v>
      </c>
      <c r="AI148" s="54">
        <v>81765.666666666672</v>
      </c>
      <c r="AJ148" s="54">
        <v>134388.02888888889</v>
      </c>
      <c r="AK148" s="54">
        <v>25395.008000000002</v>
      </c>
      <c r="AL148" s="54">
        <v>15304.018</v>
      </c>
      <c r="AM148" s="54">
        <v>80250.2</v>
      </c>
      <c r="AN148" s="54">
        <v>0</v>
      </c>
      <c r="AO148" s="54">
        <v>109112.5</v>
      </c>
      <c r="AP148" s="54">
        <v>94579</v>
      </c>
      <c r="AQ148" s="54">
        <v>7690.333333333333</v>
      </c>
      <c r="AR148" s="54">
        <v>240996</v>
      </c>
      <c r="AS148" s="54">
        <v>5000</v>
      </c>
      <c r="AT148" s="54">
        <v>73510.333333333328</v>
      </c>
      <c r="AU148" s="54">
        <v>155283.5</v>
      </c>
      <c r="AV148" s="54">
        <v>181692.75</v>
      </c>
      <c r="AW148" s="54">
        <v>336976.25</v>
      </c>
      <c r="AX148" s="54">
        <v>7.8863636363636367</v>
      </c>
      <c r="AY148" s="54">
        <v>6.1363636363636367</v>
      </c>
      <c r="AZ148" s="54">
        <v>2.75</v>
      </c>
      <c r="BA148" s="54" t="s">
        <v>343</v>
      </c>
      <c r="BB148" s="54" t="s">
        <v>362</v>
      </c>
    </row>
    <row r="149" spans="1:54" x14ac:dyDescent="0.25">
      <c r="A149" s="54">
        <v>2945</v>
      </c>
      <c r="B149" s="54">
        <v>2019</v>
      </c>
      <c r="C149" s="88" t="s">
        <v>82</v>
      </c>
      <c r="D149" s="54" t="s">
        <v>378</v>
      </c>
      <c r="E149" s="54" t="s">
        <v>79</v>
      </c>
      <c r="F149" s="54" t="str">
        <f>_xlfn.CONCAT(Table13[[#This Row],[Geographic Scope]],": ",Table13[[#This Row],[Sub-Type/Focus]])</f>
        <v>Regional: Single-Topic</v>
      </c>
      <c r="G149" s="54" t="str">
        <f>_xlfn.CONCAT(Table13[[#This Row],[Geographic Scope]],": ",Table13[[#This Row],[Sub-Type/Focus]],": ",Table13[[#This Row],[Content Type]])</f>
        <v>Regional: Single-Topic: Current News &amp; Events</v>
      </c>
      <c r="H149" s="54" t="str">
        <f>_xlfn.CONCAT(Table13[[#This Row],[Geographic Scope]],": ",Table13[[#This Row],[Content Type]])</f>
        <v>Regional: Current News &amp; Events</v>
      </c>
      <c r="I149" s="55">
        <v>258487.5</v>
      </c>
      <c r="J149" s="55">
        <v>234418.5</v>
      </c>
      <c r="K149" s="55">
        <v>48138</v>
      </c>
      <c r="L149" s="54">
        <v>222052</v>
      </c>
      <c r="M149" s="54">
        <v>0</v>
      </c>
      <c r="N149" s="54">
        <v>11616.5</v>
      </c>
      <c r="O149" s="54">
        <v>5607</v>
      </c>
      <c r="P149" s="54">
        <v>2259.5</v>
      </c>
      <c r="Q149" s="54">
        <v>3750</v>
      </c>
      <c r="R149" s="54">
        <v>3000</v>
      </c>
      <c r="S149" s="54">
        <v>0</v>
      </c>
      <c r="T149" s="54">
        <v>0</v>
      </c>
      <c r="U149" s="54">
        <v>0</v>
      </c>
      <c r="V149" s="54">
        <v>0</v>
      </c>
      <c r="W149" s="54">
        <v>1095</v>
      </c>
      <c r="X149" s="54">
        <v>95181</v>
      </c>
      <c r="Y149" s="54">
        <v>194600</v>
      </c>
      <c r="Z149" s="54">
        <v>632100.80000000005</v>
      </c>
      <c r="AA149" s="54">
        <v>826700.80000000005</v>
      </c>
      <c r="AB149" s="54">
        <v>12.571428571428571</v>
      </c>
      <c r="AC149" s="54">
        <v>6.25</v>
      </c>
      <c r="AD149" s="54">
        <v>11.0625</v>
      </c>
      <c r="AE149" s="54">
        <v>494679.05625000002</v>
      </c>
      <c r="AF149" s="54">
        <v>480565.93125000002</v>
      </c>
      <c r="AG149" s="54">
        <v>22581</v>
      </c>
      <c r="AH149" s="54">
        <v>354606.5</v>
      </c>
      <c r="AI149" s="54">
        <v>234050</v>
      </c>
      <c r="AJ149" s="54">
        <v>96328.181249999994</v>
      </c>
      <c r="AK149" s="54">
        <v>47438.084999999999</v>
      </c>
      <c r="AL149" s="54">
        <v>12590.971250000001</v>
      </c>
      <c r="AM149" s="54">
        <v>36299.125</v>
      </c>
      <c r="AN149" s="54">
        <v>3000</v>
      </c>
      <c r="AO149" s="54">
        <v>15702.666666666666</v>
      </c>
      <c r="AP149" s="54">
        <v>0</v>
      </c>
      <c r="AQ149" s="54">
        <v>0</v>
      </c>
      <c r="AR149" s="54">
        <v>0</v>
      </c>
      <c r="AS149" s="54">
        <v>647.5</v>
      </c>
      <c r="AT149" s="54">
        <v>64502</v>
      </c>
      <c r="AU149" s="54">
        <v>304670.5</v>
      </c>
      <c r="AV149" s="54">
        <v>103297.875</v>
      </c>
      <c r="AW149" s="54">
        <v>407968.375</v>
      </c>
      <c r="AX149" s="54">
        <v>5.9285714285714288</v>
      </c>
      <c r="AY149" s="54">
        <v>4.9285714285714288</v>
      </c>
      <c r="AZ149" s="54">
        <v>1.75</v>
      </c>
      <c r="BA149" s="54" t="s">
        <v>342</v>
      </c>
      <c r="BB149" s="54" t="s">
        <v>347</v>
      </c>
    </row>
    <row r="150" spans="1:54" x14ac:dyDescent="0.25">
      <c r="A150" s="54">
        <v>2983</v>
      </c>
      <c r="B150" s="54">
        <v>2018</v>
      </c>
      <c r="C150" s="88" t="s">
        <v>82</v>
      </c>
      <c r="D150" s="54" t="s">
        <v>378</v>
      </c>
      <c r="E150" s="54" t="s">
        <v>79</v>
      </c>
      <c r="F150" s="54" t="str">
        <f>_xlfn.CONCAT(Table13[[#This Row],[Geographic Scope]],": ",Table13[[#This Row],[Sub-Type/Focus]])</f>
        <v>Regional: Single-Topic</v>
      </c>
      <c r="G150" s="54" t="str">
        <f>_xlfn.CONCAT(Table13[[#This Row],[Geographic Scope]],": ",Table13[[#This Row],[Sub-Type/Focus]],": ",Table13[[#This Row],[Content Type]])</f>
        <v>Regional: Single-Topic: Current News &amp; Events</v>
      </c>
      <c r="H150" s="54" t="str">
        <f>_xlfn.CONCAT(Table13[[#This Row],[Geographic Scope]],": ",Table13[[#This Row],[Content Type]])</f>
        <v>Regional: Current News &amp; Events</v>
      </c>
      <c r="I150" s="55">
        <v>258487.5</v>
      </c>
      <c r="J150" s="55">
        <v>234418.5</v>
      </c>
      <c r="K150" s="55">
        <v>48138</v>
      </c>
      <c r="L150" s="54">
        <v>222052</v>
      </c>
      <c r="M150" s="54">
        <v>0</v>
      </c>
      <c r="N150" s="54">
        <v>11616.5</v>
      </c>
      <c r="O150" s="54">
        <v>5607</v>
      </c>
      <c r="P150" s="54">
        <v>2259.5</v>
      </c>
      <c r="Q150" s="54">
        <v>3750</v>
      </c>
      <c r="R150" s="54">
        <v>3000</v>
      </c>
      <c r="S150" s="54">
        <v>0</v>
      </c>
      <c r="T150" s="54">
        <v>0</v>
      </c>
      <c r="U150" s="54">
        <v>0</v>
      </c>
      <c r="V150" s="54">
        <v>0</v>
      </c>
      <c r="W150" s="54">
        <v>1095</v>
      </c>
      <c r="X150" s="54">
        <v>95181</v>
      </c>
      <c r="Y150" s="54">
        <v>194600</v>
      </c>
      <c r="Z150" s="54">
        <v>632100.80000000005</v>
      </c>
      <c r="AA150" s="54">
        <v>826700.80000000005</v>
      </c>
      <c r="AB150" s="54">
        <v>12.571428571428571</v>
      </c>
      <c r="AC150" s="54">
        <v>6.25</v>
      </c>
      <c r="AD150" s="54">
        <v>11.0625</v>
      </c>
      <c r="AE150" s="54">
        <v>494679.05625000002</v>
      </c>
      <c r="AF150" s="54">
        <v>480565.93125000002</v>
      </c>
      <c r="AG150" s="54">
        <v>22581</v>
      </c>
      <c r="AH150" s="54">
        <v>354606.5</v>
      </c>
      <c r="AI150" s="54">
        <v>234050</v>
      </c>
      <c r="AJ150" s="54">
        <v>96328.181249999994</v>
      </c>
      <c r="AK150" s="54">
        <v>47438.084999999999</v>
      </c>
      <c r="AL150" s="54">
        <v>12590.971250000001</v>
      </c>
      <c r="AM150" s="54">
        <v>36299.125</v>
      </c>
      <c r="AN150" s="54">
        <v>3000</v>
      </c>
      <c r="AO150" s="54">
        <v>15702.666666666666</v>
      </c>
      <c r="AP150" s="54">
        <v>0</v>
      </c>
      <c r="AQ150" s="54">
        <v>0</v>
      </c>
      <c r="AR150" s="54">
        <v>0</v>
      </c>
      <c r="AS150" s="54">
        <v>647.5</v>
      </c>
      <c r="AT150" s="54">
        <v>64502</v>
      </c>
      <c r="AU150" s="54">
        <v>304670.5</v>
      </c>
      <c r="AV150" s="54">
        <v>103297.875</v>
      </c>
      <c r="AW150" s="54">
        <v>407968.375</v>
      </c>
      <c r="AX150" s="54">
        <v>5.9285714285714288</v>
      </c>
      <c r="AY150" s="54">
        <v>4.9285714285714288</v>
      </c>
      <c r="AZ150" s="54">
        <v>1.75</v>
      </c>
      <c r="BA150" s="54" t="s">
        <v>342</v>
      </c>
    </row>
    <row r="151" spans="1:54" x14ac:dyDescent="0.25">
      <c r="A151" s="54">
        <v>333</v>
      </c>
      <c r="B151" s="54">
        <v>2013</v>
      </c>
      <c r="C151" s="88" t="s">
        <v>80</v>
      </c>
      <c r="D151" s="54" t="s">
        <v>378</v>
      </c>
      <c r="E151" s="54" t="s">
        <v>77</v>
      </c>
      <c r="F151" s="54" t="str">
        <f>_xlfn.CONCAT(Table13[[#This Row],[Geographic Scope]],": ",Table13[[#This Row],[Sub-Type/Focus]])</f>
        <v>Regional: General</v>
      </c>
      <c r="G151" s="54" t="str">
        <f>_xlfn.CONCAT(Table13[[#This Row],[Geographic Scope]],": ",Table13[[#This Row],[Sub-Type/Focus]],": ",Table13[[#This Row],[Content Type]])</f>
        <v>Regional: General: Explanatory &amp; Analysis</v>
      </c>
      <c r="H151" s="54" t="str">
        <f>_xlfn.CONCAT(Table13[[#This Row],[Geographic Scope]],": ",Table13[[#This Row],[Content Type]])</f>
        <v>Regional: Explanatory &amp; Analysis</v>
      </c>
      <c r="I151" s="55">
        <v>1623486.5658333332</v>
      </c>
      <c r="J151" s="55">
        <v>1210988.2324999999</v>
      </c>
      <c r="K151" s="55">
        <v>449998.18181818182</v>
      </c>
      <c r="L151" s="54">
        <v>256565</v>
      </c>
      <c r="M151" s="54">
        <v>76396.666666666672</v>
      </c>
      <c r="N151" s="54">
        <v>1018410.0718181818</v>
      </c>
      <c r="O151" s="54">
        <v>477253.125</v>
      </c>
      <c r="P151" s="54">
        <v>139971.78</v>
      </c>
      <c r="Q151" s="54">
        <v>316317.66083333333</v>
      </c>
      <c r="R151" s="54">
        <v>277943</v>
      </c>
      <c r="S151" s="54">
        <v>62286.166666666664</v>
      </c>
      <c r="T151" s="54">
        <v>536496.6</v>
      </c>
      <c r="U151" s="54">
        <v>45634.5</v>
      </c>
      <c r="V151" s="54">
        <v>577903.5</v>
      </c>
      <c r="W151" s="54">
        <v>3164.5</v>
      </c>
      <c r="X151" s="54">
        <v>109821.2</v>
      </c>
      <c r="Y151" s="54">
        <v>980631.1</v>
      </c>
      <c r="Z151" s="54">
        <v>698778.2</v>
      </c>
      <c r="AA151" s="54">
        <v>1679409.3</v>
      </c>
      <c r="AB151" s="54">
        <v>20.958333333333332</v>
      </c>
      <c r="AC151" s="54">
        <v>13.862499999999999</v>
      </c>
      <c r="AD151" s="54">
        <v>8.5150000000000006</v>
      </c>
      <c r="AE151" s="54">
        <v>2976577.5579999997</v>
      </c>
      <c r="AF151" s="54">
        <v>2136187.358</v>
      </c>
      <c r="AG151" s="54">
        <v>840390.2</v>
      </c>
      <c r="AH151" s="54">
        <v>154872.75</v>
      </c>
      <c r="AI151" s="54">
        <v>18760</v>
      </c>
      <c r="AJ151" s="54">
        <v>2436495.6974999998</v>
      </c>
      <c r="AK151" s="54">
        <v>1047916.7</v>
      </c>
      <c r="AL151" s="54">
        <v>299559.87199999997</v>
      </c>
      <c r="AM151" s="54">
        <v>601719.98599999992</v>
      </c>
      <c r="AN151" s="54">
        <v>277943</v>
      </c>
      <c r="AO151" s="54">
        <v>108384</v>
      </c>
      <c r="AP151" s="54">
        <v>646976</v>
      </c>
      <c r="AQ151" s="54">
        <v>80483.5</v>
      </c>
      <c r="AR151" s="54">
        <v>914811</v>
      </c>
      <c r="AS151" s="54">
        <v>6129</v>
      </c>
      <c r="AT151" s="54">
        <v>141252</v>
      </c>
      <c r="AU151" s="54">
        <v>1657087.8</v>
      </c>
      <c r="AV151" s="54">
        <v>1667014.8</v>
      </c>
      <c r="AW151" s="54">
        <v>3324102.6</v>
      </c>
      <c r="AX151" s="54">
        <v>24.75</v>
      </c>
      <c r="AY151" s="54">
        <v>13.61</v>
      </c>
      <c r="AZ151" s="54">
        <v>13.925000000000001</v>
      </c>
      <c r="BA151" s="54" t="s">
        <v>342</v>
      </c>
      <c r="BB151" s="54" t="s">
        <v>346</v>
      </c>
    </row>
    <row r="152" spans="1:54" x14ac:dyDescent="0.25">
      <c r="A152" s="54">
        <v>381</v>
      </c>
      <c r="B152" s="54">
        <v>1970</v>
      </c>
      <c r="C152" s="88" t="s">
        <v>80</v>
      </c>
      <c r="D152" s="54" t="s">
        <v>378</v>
      </c>
      <c r="E152" s="54" t="s">
        <v>77</v>
      </c>
      <c r="F152" s="54" t="str">
        <f>_xlfn.CONCAT(Table13[[#This Row],[Geographic Scope]],": ",Table13[[#This Row],[Sub-Type/Focus]])</f>
        <v>Regional: General</v>
      </c>
      <c r="G152" s="54" t="str">
        <f>_xlfn.CONCAT(Table13[[#This Row],[Geographic Scope]],": ",Table13[[#This Row],[Sub-Type/Focus]],": ",Table13[[#This Row],[Content Type]])</f>
        <v>Regional: General: Explanatory &amp; Analysis</v>
      </c>
      <c r="H152" s="54" t="str">
        <f>_xlfn.CONCAT(Table13[[#This Row],[Geographic Scope]],": ",Table13[[#This Row],[Content Type]])</f>
        <v>Regional: Explanatory &amp; Analysis</v>
      </c>
      <c r="I152" s="55">
        <v>1623486.5658333332</v>
      </c>
      <c r="J152" s="55">
        <v>1210988.2324999999</v>
      </c>
      <c r="K152" s="55">
        <v>449998.18181818182</v>
      </c>
      <c r="L152" s="54">
        <v>256565</v>
      </c>
      <c r="M152" s="54">
        <v>76396.666666666672</v>
      </c>
      <c r="N152" s="54">
        <v>1018410.0718181818</v>
      </c>
      <c r="O152" s="54">
        <v>477253.125</v>
      </c>
      <c r="P152" s="54">
        <v>139971.78</v>
      </c>
      <c r="Q152" s="54">
        <v>316317.66083333333</v>
      </c>
      <c r="R152" s="54">
        <v>277943</v>
      </c>
      <c r="S152" s="54">
        <v>62286.166666666664</v>
      </c>
      <c r="T152" s="54">
        <v>536496.6</v>
      </c>
      <c r="U152" s="54">
        <v>45634.5</v>
      </c>
      <c r="V152" s="54">
        <v>577903.5</v>
      </c>
      <c r="W152" s="54">
        <v>3164.5</v>
      </c>
      <c r="X152" s="54">
        <v>109821.2</v>
      </c>
      <c r="Y152" s="54">
        <v>980631.1</v>
      </c>
      <c r="Z152" s="54">
        <v>698778.2</v>
      </c>
      <c r="AA152" s="54">
        <v>1679409.3</v>
      </c>
      <c r="AB152" s="54">
        <v>20.958333333333332</v>
      </c>
      <c r="AC152" s="54">
        <v>13.862499999999999</v>
      </c>
      <c r="AD152" s="54">
        <v>8.5150000000000006</v>
      </c>
      <c r="AE152" s="54">
        <v>2976577.5579999997</v>
      </c>
      <c r="AF152" s="54">
        <v>2136187.358</v>
      </c>
      <c r="AG152" s="54">
        <v>840390.2</v>
      </c>
      <c r="AH152" s="54">
        <v>154872.75</v>
      </c>
      <c r="AI152" s="54">
        <v>18760</v>
      </c>
      <c r="AJ152" s="54">
        <v>2436495.6974999998</v>
      </c>
      <c r="AK152" s="54">
        <v>1047916.7</v>
      </c>
      <c r="AL152" s="54">
        <v>299559.87199999997</v>
      </c>
      <c r="AM152" s="54">
        <v>601719.98599999992</v>
      </c>
      <c r="AN152" s="54">
        <v>277943</v>
      </c>
      <c r="AO152" s="54">
        <v>108384</v>
      </c>
      <c r="AP152" s="54">
        <v>646976</v>
      </c>
      <c r="AQ152" s="54">
        <v>80483.5</v>
      </c>
      <c r="AR152" s="54">
        <v>914811</v>
      </c>
      <c r="AS152" s="54">
        <v>6129</v>
      </c>
      <c r="AT152" s="54">
        <v>141252</v>
      </c>
      <c r="AU152" s="54">
        <v>1657087.8</v>
      </c>
      <c r="AV152" s="54">
        <v>1667014.8</v>
      </c>
      <c r="AW152" s="54">
        <v>3324102.6</v>
      </c>
      <c r="AX152" s="54">
        <v>24.75</v>
      </c>
      <c r="AY152" s="54">
        <v>13.61</v>
      </c>
      <c r="AZ152" s="54">
        <v>13.925000000000001</v>
      </c>
      <c r="BA152" s="54" t="s">
        <v>343</v>
      </c>
      <c r="BB152" s="54" t="s">
        <v>352</v>
      </c>
    </row>
    <row r="153" spans="1:54" x14ac:dyDescent="0.25">
      <c r="A153" s="54">
        <v>465</v>
      </c>
      <c r="B153" s="54">
        <v>1972</v>
      </c>
      <c r="C153" s="88" t="s">
        <v>80</v>
      </c>
      <c r="D153" s="54" t="s">
        <v>378</v>
      </c>
      <c r="E153" s="54" t="s">
        <v>77</v>
      </c>
      <c r="F153" s="54" t="str">
        <f>_xlfn.CONCAT(Table13[[#This Row],[Geographic Scope]],": ",Table13[[#This Row],[Sub-Type/Focus]])</f>
        <v>Regional: General</v>
      </c>
      <c r="G153" s="54" t="str">
        <f>_xlfn.CONCAT(Table13[[#This Row],[Geographic Scope]],": ",Table13[[#This Row],[Sub-Type/Focus]],": ",Table13[[#This Row],[Content Type]])</f>
        <v>Regional: General: Explanatory &amp; Analysis</v>
      </c>
      <c r="H153" s="54" t="str">
        <f>_xlfn.CONCAT(Table13[[#This Row],[Geographic Scope]],": ",Table13[[#This Row],[Content Type]])</f>
        <v>Regional: Explanatory &amp; Analysis</v>
      </c>
      <c r="I153" s="55">
        <v>1623486.5658333332</v>
      </c>
      <c r="J153" s="55">
        <v>1210988.2324999999</v>
      </c>
      <c r="K153" s="55">
        <v>449998.18181818182</v>
      </c>
      <c r="L153" s="54">
        <v>256565</v>
      </c>
      <c r="M153" s="54">
        <v>76396.666666666672</v>
      </c>
      <c r="N153" s="54">
        <v>1018410.0718181818</v>
      </c>
      <c r="O153" s="54">
        <v>477253.125</v>
      </c>
      <c r="P153" s="54">
        <v>139971.78</v>
      </c>
      <c r="Q153" s="54">
        <v>316317.66083333333</v>
      </c>
      <c r="R153" s="54">
        <v>277943</v>
      </c>
      <c r="S153" s="54">
        <v>62286.166666666664</v>
      </c>
      <c r="T153" s="54">
        <v>536496.6</v>
      </c>
      <c r="U153" s="54">
        <v>45634.5</v>
      </c>
      <c r="V153" s="54">
        <v>577903.5</v>
      </c>
      <c r="W153" s="54">
        <v>3164.5</v>
      </c>
      <c r="X153" s="54">
        <v>109821.2</v>
      </c>
      <c r="Y153" s="54">
        <v>980631.1</v>
      </c>
      <c r="Z153" s="54">
        <v>698778.2</v>
      </c>
      <c r="AA153" s="54">
        <v>1679409.3</v>
      </c>
      <c r="AB153" s="54">
        <v>20.958333333333332</v>
      </c>
      <c r="AC153" s="54">
        <v>13.862499999999999</v>
      </c>
      <c r="AD153" s="54">
        <v>8.5150000000000006</v>
      </c>
      <c r="AE153" s="54">
        <v>2976577.5579999997</v>
      </c>
      <c r="AF153" s="54">
        <v>2136187.358</v>
      </c>
      <c r="AG153" s="54">
        <v>840390.2</v>
      </c>
      <c r="AH153" s="54">
        <v>154872.75</v>
      </c>
      <c r="AI153" s="54">
        <v>18760</v>
      </c>
      <c r="AJ153" s="54">
        <v>2436495.6974999998</v>
      </c>
      <c r="AK153" s="54">
        <v>1047916.7</v>
      </c>
      <c r="AL153" s="54">
        <v>299559.87199999997</v>
      </c>
      <c r="AM153" s="54">
        <v>601719.98599999992</v>
      </c>
      <c r="AN153" s="54">
        <v>277943</v>
      </c>
      <c r="AO153" s="54">
        <v>108384</v>
      </c>
      <c r="AP153" s="54">
        <v>646976</v>
      </c>
      <c r="AQ153" s="54">
        <v>80483.5</v>
      </c>
      <c r="AR153" s="54">
        <v>914811</v>
      </c>
      <c r="AS153" s="54">
        <v>6129</v>
      </c>
      <c r="AT153" s="54">
        <v>141252</v>
      </c>
      <c r="AU153" s="54">
        <v>1657087.8</v>
      </c>
      <c r="AV153" s="54">
        <v>1667014.8</v>
      </c>
      <c r="AW153" s="54">
        <v>3324102.6</v>
      </c>
      <c r="AX153" s="54">
        <v>24.75</v>
      </c>
      <c r="AY153" s="54">
        <v>13.61</v>
      </c>
      <c r="AZ153" s="54">
        <v>13.925000000000001</v>
      </c>
      <c r="BA153" s="54" t="s">
        <v>343</v>
      </c>
      <c r="BB153" s="54" t="s">
        <v>368</v>
      </c>
    </row>
    <row r="154" spans="1:54" x14ac:dyDescent="0.25">
      <c r="A154" s="54">
        <v>2523</v>
      </c>
      <c r="B154" s="54">
        <v>1976</v>
      </c>
      <c r="C154" s="88" t="s">
        <v>80</v>
      </c>
      <c r="D154" s="54" t="s">
        <v>378</v>
      </c>
      <c r="E154" s="54" t="s">
        <v>77</v>
      </c>
      <c r="F154" s="54" t="str">
        <f>_xlfn.CONCAT(Table13[[#This Row],[Geographic Scope]],": ",Table13[[#This Row],[Sub-Type/Focus]])</f>
        <v>Regional: General</v>
      </c>
      <c r="G154" s="54" t="str">
        <f>_xlfn.CONCAT(Table13[[#This Row],[Geographic Scope]],": ",Table13[[#This Row],[Sub-Type/Focus]],": ",Table13[[#This Row],[Content Type]])</f>
        <v>Regional: General: Explanatory &amp; Analysis</v>
      </c>
      <c r="H154" s="54" t="str">
        <f>_xlfn.CONCAT(Table13[[#This Row],[Geographic Scope]],": ",Table13[[#This Row],[Content Type]])</f>
        <v>Regional: Explanatory &amp; Analysis</v>
      </c>
      <c r="I154" s="55">
        <v>1623486.5658333332</v>
      </c>
      <c r="J154" s="55">
        <v>1210988.2324999999</v>
      </c>
      <c r="K154" s="55">
        <v>449998.18181818182</v>
      </c>
      <c r="L154" s="54">
        <v>256565</v>
      </c>
      <c r="M154" s="54">
        <v>76396.666666666672</v>
      </c>
      <c r="N154" s="54">
        <v>1018410.0718181818</v>
      </c>
      <c r="O154" s="54">
        <v>477253.125</v>
      </c>
      <c r="P154" s="54">
        <v>139971.78</v>
      </c>
      <c r="Q154" s="54">
        <v>316317.66083333333</v>
      </c>
      <c r="R154" s="54">
        <v>277943</v>
      </c>
      <c r="S154" s="54">
        <v>62286.166666666664</v>
      </c>
      <c r="T154" s="54">
        <v>536496.6</v>
      </c>
      <c r="U154" s="54">
        <v>45634.5</v>
      </c>
      <c r="V154" s="54">
        <v>577903.5</v>
      </c>
      <c r="W154" s="54">
        <v>3164.5</v>
      </c>
      <c r="X154" s="54">
        <v>109821.2</v>
      </c>
      <c r="Y154" s="54">
        <v>980631.1</v>
      </c>
      <c r="Z154" s="54">
        <v>698778.2</v>
      </c>
      <c r="AA154" s="54">
        <v>1679409.3</v>
      </c>
      <c r="AB154" s="54">
        <v>20.958333333333332</v>
      </c>
      <c r="AC154" s="54">
        <v>13.862499999999999</v>
      </c>
      <c r="AD154" s="54">
        <v>8.5150000000000006</v>
      </c>
      <c r="AE154" s="54">
        <v>2976577.5579999997</v>
      </c>
      <c r="AF154" s="54">
        <v>2136187.358</v>
      </c>
      <c r="AG154" s="54">
        <v>840390.2</v>
      </c>
      <c r="AH154" s="54">
        <v>154872.75</v>
      </c>
      <c r="AI154" s="54">
        <v>18760</v>
      </c>
      <c r="AJ154" s="54">
        <v>2436495.6974999998</v>
      </c>
      <c r="AK154" s="54">
        <v>1047916.7</v>
      </c>
      <c r="AL154" s="54">
        <v>299559.87199999997</v>
      </c>
      <c r="AM154" s="54">
        <v>601719.98599999992</v>
      </c>
      <c r="AN154" s="54">
        <v>277943</v>
      </c>
      <c r="AO154" s="54">
        <v>108384</v>
      </c>
      <c r="AP154" s="54">
        <v>646976</v>
      </c>
      <c r="AQ154" s="54">
        <v>80483.5</v>
      </c>
      <c r="AR154" s="54">
        <v>914811</v>
      </c>
      <c r="AS154" s="54">
        <v>6129</v>
      </c>
      <c r="AT154" s="54">
        <v>141252</v>
      </c>
      <c r="AU154" s="54">
        <v>1657087.8</v>
      </c>
      <c r="AV154" s="54">
        <v>1667014.8</v>
      </c>
      <c r="AW154" s="54">
        <v>3324102.6</v>
      </c>
      <c r="AX154" s="54">
        <v>24.75</v>
      </c>
      <c r="AY154" s="54">
        <v>13.61</v>
      </c>
      <c r="AZ154" s="54">
        <v>13.925000000000001</v>
      </c>
      <c r="BA154" s="54" t="s">
        <v>343</v>
      </c>
      <c r="BB154" s="54" t="s">
        <v>381</v>
      </c>
    </row>
    <row r="155" spans="1:54" x14ac:dyDescent="0.25">
      <c r="A155" s="54">
        <v>2918</v>
      </c>
      <c r="B155" s="54">
        <v>2018</v>
      </c>
      <c r="C155" s="88" t="s">
        <v>80</v>
      </c>
      <c r="D155" s="54" t="s">
        <v>378</v>
      </c>
      <c r="E155" s="54" t="s">
        <v>77</v>
      </c>
      <c r="F155" s="54" t="str">
        <f>_xlfn.CONCAT(Table13[[#This Row],[Geographic Scope]],": ",Table13[[#This Row],[Sub-Type/Focus]])</f>
        <v>Regional: General</v>
      </c>
      <c r="G155" s="54" t="str">
        <f>_xlfn.CONCAT(Table13[[#This Row],[Geographic Scope]],": ",Table13[[#This Row],[Sub-Type/Focus]],": ",Table13[[#This Row],[Content Type]])</f>
        <v>Regional: General: Explanatory &amp; Analysis</v>
      </c>
      <c r="H155" s="54" t="str">
        <f>_xlfn.CONCAT(Table13[[#This Row],[Geographic Scope]],": ",Table13[[#This Row],[Content Type]])</f>
        <v>Regional: Explanatory &amp; Analysis</v>
      </c>
      <c r="I155" s="55">
        <v>1623486.5658333332</v>
      </c>
      <c r="J155" s="55">
        <v>1210988.2324999999</v>
      </c>
      <c r="K155" s="55">
        <v>449998.18181818182</v>
      </c>
      <c r="L155" s="54">
        <v>256565</v>
      </c>
      <c r="M155" s="54">
        <v>76396.666666666672</v>
      </c>
      <c r="N155" s="54">
        <v>1018410.0718181818</v>
      </c>
      <c r="O155" s="54">
        <v>477253.125</v>
      </c>
      <c r="P155" s="54">
        <v>139971.78</v>
      </c>
      <c r="Q155" s="54">
        <v>316317.66083333333</v>
      </c>
      <c r="R155" s="54">
        <v>277943</v>
      </c>
      <c r="S155" s="54">
        <v>62286.166666666664</v>
      </c>
      <c r="T155" s="54">
        <v>536496.6</v>
      </c>
      <c r="U155" s="54">
        <v>45634.5</v>
      </c>
      <c r="V155" s="54">
        <v>577903.5</v>
      </c>
      <c r="W155" s="54">
        <v>3164.5</v>
      </c>
      <c r="X155" s="54">
        <v>109821.2</v>
      </c>
      <c r="Y155" s="54">
        <v>980631.1</v>
      </c>
      <c r="Z155" s="54">
        <v>698778.2</v>
      </c>
      <c r="AA155" s="54">
        <v>1679409.3</v>
      </c>
      <c r="AB155" s="54">
        <v>20.958333333333332</v>
      </c>
      <c r="AC155" s="54">
        <v>13.862499999999999</v>
      </c>
      <c r="AD155" s="54">
        <v>8.5150000000000006</v>
      </c>
      <c r="AE155" s="54">
        <v>2976577.5579999997</v>
      </c>
      <c r="AF155" s="54">
        <v>2136187.358</v>
      </c>
      <c r="AG155" s="54">
        <v>840390.2</v>
      </c>
      <c r="AH155" s="54">
        <v>154872.75</v>
      </c>
      <c r="AI155" s="54">
        <v>18760</v>
      </c>
      <c r="AJ155" s="54">
        <v>2436495.6974999998</v>
      </c>
      <c r="AK155" s="54">
        <v>1047916.7</v>
      </c>
      <c r="AL155" s="54">
        <v>299559.87199999997</v>
      </c>
      <c r="AM155" s="54">
        <v>601719.98599999992</v>
      </c>
      <c r="AN155" s="54">
        <v>277943</v>
      </c>
      <c r="AO155" s="54">
        <v>108384</v>
      </c>
      <c r="AP155" s="54">
        <v>646976</v>
      </c>
      <c r="AQ155" s="54">
        <v>80483.5</v>
      </c>
      <c r="AR155" s="54">
        <v>914811</v>
      </c>
      <c r="AS155" s="54">
        <v>6129</v>
      </c>
      <c r="AT155" s="54">
        <v>141252</v>
      </c>
      <c r="AU155" s="54">
        <v>1657087.8</v>
      </c>
      <c r="AV155" s="54">
        <v>1667014.8</v>
      </c>
      <c r="AW155" s="54">
        <v>3324102.6</v>
      </c>
      <c r="AX155" s="54">
        <v>24.75</v>
      </c>
      <c r="AY155" s="54">
        <v>13.61</v>
      </c>
      <c r="AZ155" s="54">
        <v>13.925000000000001</v>
      </c>
      <c r="BA155" s="54" t="s">
        <v>343</v>
      </c>
      <c r="BB155" s="54" t="s">
        <v>370</v>
      </c>
    </row>
    <row r="156" spans="1:54" x14ac:dyDescent="0.25">
      <c r="A156" s="54">
        <v>6848</v>
      </c>
      <c r="B156" s="54">
        <v>1965</v>
      </c>
      <c r="C156" s="88" t="s">
        <v>80</v>
      </c>
      <c r="D156" s="54" t="s">
        <v>378</v>
      </c>
      <c r="E156" s="54" t="s">
        <v>77</v>
      </c>
      <c r="F156" s="54" t="str">
        <f>_xlfn.CONCAT(Table13[[#This Row],[Geographic Scope]],": ",Table13[[#This Row],[Sub-Type/Focus]])</f>
        <v>Regional: General</v>
      </c>
      <c r="G156" s="54" t="str">
        <f>_xlfn.CONCAT(Table13[[#This Row],[Geographic Scope]],": ",Table13[[#This Row],[Sub-Type/Focus]],": ",Table13[[#This Row],[Content Type]])</f>
        <v>Regional: General: Explanatory &amp; Analysis</v>
      </c>
      <c r="H156" s="54" t="str">
        <f>_xlfn.CONCAT(Table13[[#This Row],[Geographic Scope]],": ",Table13[[#This Row],[Content Type]])</f>
        <v>Regional: Explanatory &amp; Analysis</v>
      </c>
      <c r="I156" s="55">
        <v>1623486.5658333332</v>
      </c>
      <c r="J156" s="55">
        <v>1210988.2324999999</v>
      </c>
      <c r="K156" s="55">
        <v>449998.18181818182</v>
      </c>
      <c r="L156" s="54">
        <v>256565</v>
      </c>
      <c r="M156" s="54">
        <v>76396.666666666672</v>
      </c>
      <c r="N156" s="54">
        <v>1018410.0718181818</v>
      </c>
      <c r="O156" s="54">
        <v>477253.125</v>
      </c>
      <c r="P156" s="54">
        <v>139971.78</v>
      </c>
      <c r="Q156" s="54">
        <v>316317.66083333333</v>
      </c>
      <c r="R156" s="54">
        <v>277943</v>
      </c>
      <c r="S156" s="54">
        <v>62286.166666666664</v>
      </c>
      <c r="T156" s="54">
        <v>536496.6</v>
      </c>
      <c r="U156" s="54">
        <v>45634.5</v>
      </c>
      <c r="V156" s="54">
        <v>577903.5</v>
      </c>
      <c r="W156" s="54">
        <v>3164.5</v>
      </c>
      <c r="X156" s="54">
        <v>109821.2</v>
      </c>
      <c r="Y156" s="54">
        <v>980631.1</v>
      </c>
      <c r="Z156" s="54">
        <v>698778.2</v>
      </c>
      <c r="AA156" s="54">
        <v>1679409.3</v>
      </c>
      <c r="AB156" s="54">
        <v>20.958333333333332</v>
      </c>
      <c r="AC156" s="54">
        <v>13.862499999999999</v>
      </c>
      <c r="AD156" s="54">
        <v>8.5150000000000006</v>
      </c>
      <c r="AE156" s="54">
        <v>2976577.5579999997</v>
      </c>
      <c r="AF156" s="54">
        <v>2136187.358</v>
      </c>
      <c r="AG156" s="54">
        <v>840390.2</v>
      </c>
      <c r="AH156" s="54">
        <v>154872.75</v>
      </c>
      <c r="AI156" s="54">
        <v>18760</v>
      </c>
      <c r="AJ156" s="54">
        <v>2436495.6974999998</v>
      </c>
      <c r="AK156" s="54">
        <v>1047916.7</v>
      </c>
      <c r="AL156" s="54">
        <v>299559.87199999997</v>
      </c>
      <c r="AM156" s="54">
        <v>601719.98599999992</v>
      </c>
      <c r="AN156" s="54">
        <v>277943</v>
      </c>
      <c r="AO156" s="54">
        <v>108384</v>
      </c>
      <c r="AP156" s="54">
        <v>646976</v>
      </c>
      <c r="AQ156" s="54">
        <v>80483.5</v>
      </c>
      <c r="AR156" s="54">
        <v>914811</v>
      </c>
      <c r="AS156" s="54">
        <v>6129</v>
      </c>
      <c r="AT156" s="54">
        <v>141252</v>
      </c>
      <c r="AU156" s="54">
        <v>1657087.8</v>
      </c>
      <c r="AV156" s="54">
        <v>1667014.8</v>
      </c>
      <c r="AW156" s="54">
        <v>3324102.6</v>
      </c>
      <c r="AX156" s="54">
        <v>24.75</v>
      </c>
      <c r="AY156" s="54">
        <v>13.61</v>
      </c>
      <c r="AZ156" s="54">
        <v>13.925000000000001</v>
      </c>
      <c r="BA156" s="54" t="s">
        <v>343</v>
      </c>
      <c r="BB156" s="54" t="s">
        <v>381</v>
      </c>
    </row>
    <row r="157" spans="1:54" x14ac:dyDescent="0.25">
      <c r="A157" s="54">
        <v>322</v>
      </c>
      <c r="B157" s="54">
        <v>1998</v>
      </c>
      <c r="C157" s="88" t="s">
        <v>80</v>
      </c>
      <c r="D157" s="54" t="s">
        <v>378</v>
      </c>
      <c r="E157" s="54" t="s">
        <v>78</v>
      </c>
      <c r="F157" s="54" t="str">
        <f>_xlfn.CONCAT(Table13[[#This Row],[Geographic Scope]],": ",Table13[[#This Row],[Sub-Type/Focus]])</f>
        <v>Regional: Multiple Related Topics</v>
      </c>
      <c r="G157" s="54" t="str">
        <f>_xlfn.CONCAT(Table13[[#This Row],[Geographic Scope]],": ",Table13[[#This Row],[Sub-Type/Focus]],": ",Table13[[#This Row],[Content Type]])</f>
        <v>Regional: Multiple Related Topics: Explanatory &amp; Analysis</v>
      </c>
      <c r="H157" s="54" t="str">
        <f>_xlfn.CONCAT(Table13[[#This Row],[Geographic Scope]],": ",Table13[[#This Row],[Content Type]])</f>
        <v>Regional: Explanatory &amp; Analysis</v>
      </c>
      <c r="I157" s="55">
        <v>1623486.5658333332</v>
      </c>
      <c r="J157" s="55">
        <v>1210988.2324999999</v>
      </c>
      <c r="K157" s="55">
        <v>449998.18181818182</v>
      </c>
      <c r="L157" s="54">
        <v>256565</v>
      </c>
      <c r="M157" s="54">
        <v>76396.666666666672</v>
      </c>
      <c r="N157" s="54">
        <v>1018410.0718181818</v>
      </c>
      <c r="O157" s="54">
        <v>477253.125</v>
      </c>
      <c r="P157" s="54">
        <v>139971.78</v>
      </c>
      <c r="Q157" s="54">
        <v>316317.66083333333</v>
      </c>
      <c r="R157" s="54">
        <v>277943</v>
      </c>
      <c r="S157" s="54">
        <v>62286.166666666664</v>
      </c>
      <c r="T157" s="54">
        <v>536496.6</v>
      </c>
      <c r="U157" s="54">
        <v>45634.5</v>
      </c>
      <c r="V157" s="54">
        <v>577903.5</v>
      </c>
      <c r="W157" s="54">
        <v>3164.5</v>
      </c>
      <c r="X157" s="54">
        <v>109821.2</v>
      </c>
      <c r="Y157" s="54">
        <v>980631.1</v>
      </c>
      <c r="Z157" s="54">
        <v>698778.2</v>
      </c>
      <c r="AA157" s="54">
        <v>1679409.3</v>
      </c>
      <c r="AB157" s="54">
        <v>20.958333333333332</v>
      </c>
      <c r="AC157" s="54">
        <v>13.862499999999999</v>
      </c>
      <c r="AD157" s="54">
        <v>8.5150000000000006</v>
      </c>
      <c r="AE157" s="54">
        <v>379217.72600000002</v>
      </c>
      <c r="AF157" s="54">
        <v>298977.52600000001</v>
      </c>
      <c r="AG157" s="54">
        <v>133733.66666666666</v>
      </c>
      <c r="AH157" s="54">
        <v>153498.6</v>
      </c>
      <c r="AI157" s="54">
        <v>81765.666666666672</v>
      </c>
      <c r="AJ157" s="54">
        <v>134388.02888888889</v>
      </c>
      <c r="AK157" s="54">
        <v>25395.008000000002</v>
      </c>
      <c r="AL157" s="54">
        <v>15304.018</v>
      </c>
      <c r="AM157" s="54">
        <v>80250.2</v>
      </c>
      <c r="AN157" s="54">
        <v>0</v>
      </c>
      <c r="AO157" s="54">
        <v>109112.5</v>
      </c>
      <c r="AP157" s="54">
        <v>94579</v>
      </c>
      <c r="AQ157" s="54">
        <v>7690.333333333333</v>
      </c>
      <c r="AR157" s="54">
        <v>240996</v>
      </c>
      <c r="AS157" s="54">
        <v>5000</v>
      </c>
      <c r="AT157" s="54">
        <v>73510.333333333328</v>
      </c>
      <c r="AU157" s="54">
        <v>155283.5</v>
      </c>
      <c r="AV157" s="54">
        <v>181692.75</v>
      </c>
      <c r="AW157" s="54">
        <v>336976.25</v>
      </c>
      <c r="AX157" s="54">
        <v>7.8863636363636367</v>
      </c>
      <c r="AY157" s="54">
        <v>6.1363636363636367</v>
      </c>
      <c r="AZ157" s="54">
        <v>2.75</v>
      </c>
      <c r="BA157" s="54" t="s">
        <v>339</v>
      </c>
      <c r="BB157" s="54" t="s">
        <v>359</v>
      </c>
    </row>
    <row r="158" spans="1:54" x14ac:dyDescent="0.25">
      <c r="A158" s="54">
        <v>358</v>
      </c>
      <c r="B158" s="54">
        <v>2007</v>
      </c>
      <c r="C158" s="88" t="s">
        <v>80</v>
      </c>
      <c r="D158" s="54" t="s">
        <v>378</v>
      </c>
      <c r="E158" s="54" t="s">
        <v>78</v>
      </c>
      <c r="F158" s="54" t="str">
        <f>_xlfn.CONCAT(Table13[[#This Row],[Geographic Scope]],": ",Table13[[#This Row],[Sub-Type/Focus]])</f>
        <v>Regional: Multiple Related Topics</v>
      </c>
      <c r="G158" s="54" t="str">
        <f>_xlfn.CONCAT(Table13[[#This Row],[Geographic Scope]],": ",Table13[[#This Row],[Sub-Type/Focus]],": ",Table13[[#This Row],[Content Type]])</f>
        <v>Regional: Multiple Related Topics: Explanatory &amp; Analysis</v>
      </c>
      <c r="H158" s="54" t="str">
        <f>_xlfn.CONCAT(Table13[[#This Row],[Geographic Scope]],": ",Table13[[#This Row],[Content Type]])</f>
        <v>Regional: Explanatory &amp; Analysis</v>
      </c>
      <c r="I158" s="55">
        <v>1623486.5658333332</v>
      </c>
      <c r="J158" s="55">
        <v>1210988.2324999999</v>
      </c>
      <c r="K158" s="55">
        <v>449998.18181818182</v>
      </c>
      <c r="L158" s="54">
        <v>256565</v>
      </c>
      <c r="M158" s="54">
        <v>76396.666666666672</v>
      </c>
      <c r="N158" s="54">
        <v>1018410.0718181818</v>
      </c>
      <c r="O158" s="54">
        <v>477253.125</v>
      </c>
      <c r="P158" s="54">
        <v>139971.78</v>
      </c>
      <c r="Q158" s="54">
        <v>316317.66083333333</v>
      </c>
      <c r="R158" s="54">
        <v>277943</v>
      </c>
      <c r="S158" s="54">
        <v>62286.166666666664</v>
      </c>
      <c r="T158" s="54">
        <v>536496.6</v>
      </c>
      <c r="U158" s="54">
        <v>45634.5</v>
      </c>
      <c r="V158" s="54">
        <v>577903.5</v>
      </c>
      <c r="W158" s="54">
        <v>3164.5</v>
      </c>
      <c r="X158" s="54">
        <v>109821.2</v>
      </c>
      <c r="Y158" s="54">
        <v>980631.1</v>
      </c>
      <c r="Z158" s="54">
        <v>698778.2</v>
      </c>
      <c r="AA158" s="54">
        <v>1679409.3</v>
      </c>
      <c r="AB158" s="54">
        <v>20.958333333333332</v>
      </c>
      <c r="AC158" s="54">
        <v>13.862499999999999</v>
      </c>
      <c r="AD158" s="54">
        <v>8.5150000000000006</v>
      </c>
      <c r="AE158" s="54">
        <v>379217.72600000002</v>
      </c>
      <c r="AF158" s="54">
        <v>298977.52600000001</v>
      </c>
      <c r="AG158" s="54">
        <v>133733.66666666666</v>
      </c>
      <c r="AH158" s="54">
        <v>153498.6</v>
      </c>
      <c r="AI158" s="54">
        <v>81765.666666666672</v>
      </c>
      <c r="AJ158" s="54">
        <v>134388.02888888889</v>
      </c>
      <c r="AK158" s="54">
        <v>25395.008000000002</v>
      </c>
      <c r="AL158" s="54">
        <v>15304.018</v>
      </c>
      <c r="AM158" s="54">
        <v>80250.2</v>
      </c>
      <c r="AN158" s="54">
        <v>0</v>
      </c>
      <c r="AO158" s="54">
        <v>109112.5</v>
      </c>
      <c r="AP158" s="54">
        <v>94579</v>
      </c>
      <c r="AQ158" s="54">
        <v>7690.333333333333</v>
      </c>
      <c r="AR158" s="54">
        <v>240996</v>
      </c>
      <c r="AS158" s="54">
        <v>5000</v>
      </c>
      <c r="AT158" s="54">
        <v>73510.333333333328</v>
      </c>
      <c r="AU158" s="54">
        <v>155283.5</v>
      </c>
      <c r="AV158" s="54">
        <v>181692.75</v>
      </c>
      <c r="AW158" s="54">
        <v>336976.25</v>
      </c>
      <c r="AX158" s="54">
        <v>7.8863636363636367</v>
      </c>
      <c r="AY158" s="54">
        <v>6.1363636363636367</v>
      </c>
      <c r="AZ158" s="54">
        <v>2.75</v>
      </c>
      <c r="BA158" s="54" t="s">
        <v>343</v>
      </c>
      <c r="BB158" s="54" t="s">
        <v>382</v>
      </c>
    </row>
    <row r="159" spans="1:54" x14ac:dyDescent="0.25">
      <c r="A159" s="54">
        <v>2989</v>
      </c>
      <c r="B159" s="54">
        <v>2017</v>
      </c>
      <c r="C159" s="88" t="s">
        <v>80</v>
      </c>
      <c r="D159" s="54" t="s">
        <v>378</v>
      </c>
      <c r="E159" s="54" t="s">
        <v>78</v>
      </c>
      <c r="F159" s="54" t="str">
        <f>_xlfn.CONCAT(Table13[[#This Row],[Geographic Scope]],": ",Table13[[#This Row],[Sub-Type/Focus]])</f>
        <v>Regional: Multiple Related Topics</v>
      </c>
      <c r="G159" s="54" t="str">
        <f>_xlfn.CONCAT(Table13[[#This Row],[Geographic Scope]],": ",Table13[[#This Row],[Sub-Type/Focus]],": ",Table13[[#This Row],[Content Type]])</f>
        <v>Regional: Multiple Related Topics: Explanatory &amp; Analysis</v>
      </c>
      <c r="H159" s="54" t="str">
        <f>_xlfn.CONCAT(Table13[[#This Row],[Geographic Scope]],": ",Table13[[#This Row],[Content Type]])</f>
        <v>Regional: Explanatory &amp; Analysis</v>
      </c>
      <c r="I159" s="55">
        <v>1623486.5658333332</v>
      </c>
      <c r="J159" s="55">
        <v>1210988.2324999999</v>
      </c>
      <c r="K159" s="55">
        <v>449998.18181818182</v>
      </c>
      <c r="L159" s="54">
        <v>256565</v>
      </c>
      <c r="M159" s="54">
        <v>76396.666666666672</v>
      </c>
      <c r="N159" s="54">
        <v>1018410.0718181818</v>
      </c>
      <c r="O159" s="54">
        <v>477253.125</v>
      </c>
      <c r="P159" s="54">
        <v>139971.78</v>
      </c>
      <c r="Q159" s="54">
        <v>316317.66083333333</v>
      </c>
      <c r="R159" s="54">
        <v>277943</v>
      </c>
      <c r="S159" s="54">
        <v>62286.166666666664</v>
      </c>
      <c r="T159" s="54">
        <v>536496.6</v>
      </c>
      <c r="U159" s="54">
        <v>45634.5</v>
      </c>
      <c r="V159" s="54">
        <v>577903.5</v>
      </c>
      <c r="W159" s="54">
        <v>3164.5</v>
      </c>
      <c r="X159" s="54">
        <v>109821.2</v>
      </c>
      <c r="Y159" s="54">
        <v>980631.1</v>
      </c>
      <c r="Z159" s="54">
        <v>698778.2</v>
      </c>
      <c r="AA159" s="54">
        <v>1679409.3</v>
      </c>
      <c r="AB159" s="54">
        <v>20.958333333333332</v>
      </c>
      <c r="AC159" s="54">
        <v>13.862499999999999</v>
      </c>
      <c r="AD159" s="54">
        <v>8.5150000000000006</v>
      </c>
      <c r="AE159" s="54">
        <v>379217.72600000002</v>
      </c>
      <c r="AF159" s="54">
        <v>298977.52600000001</v>
      </c>
      <c r="AG159" s="54">
        <v>133733.66666666666</v>
      </c>
      <c r="AH159" s="54">
        <v>153498.6</v>
      </c>
      <c r="AI159" s="54">
        <v>81765.666666666672</v>
      </c>
      <c r="AJ159" s="54">
        <v>134388.02888888889</v>
      </c>
      <c r="AK159" s="54">
        <v>25395.008000000002</v>
      </c>
      <c r="AL159" s="54">
        <v>15304.018</v>
      </c>
      <c r="AM159" s="54">
        <v>80250.2</v>
      </c>
      <c r="AN159" s="54">
        <v>0</v>
      </c>
      <c r="AO159" s="54">
        <v>109112.5</v>
      </c>
      <c r="AP159" s="54">
        <v>94579</v>
      </c>
      <c r="AQ159" s="54">
        <v>7690.333333333333</v>
      </c>
      <c r="AR159" s="54">
        <v>240996</v>
      </c>
      <c r="AS159" s="54">
        <v>5000</v>
      </c>
      <c r="AT159" s="54">
        <v>73510.333333333328</v>
      </c>
      <c r="AU159" s="54">
        <v>155283.5</v>
      </c>
      <c r="AV159" s="54">
        <v>181692.75</v>
      </c>
      <c r="AW159" s="54">
        <v>336976.25</v>
      </c>
      <c r="AX159" s="54">
        <v>7.8863636363636367</v>
      </c>
      <c r="AY159" s="54">
        <v>6.1363636363636367</v>
      </c>
      <c r="AZ159" s="54">
        <v>2.75</v>
      </c>
      <c r="BA159" s="54" t="s">
        <v>342</v>
      </c>
    </row>
    <row r="160" spans="1:54" x14ac:dyDescent="0.25">
      <c r="A160" s="54">
        <v>348</v>
      </c>
      <c r="B160" s="54">
        <v>2008</v>
      </c>
      <c r="C160" s="88" t="s">
        <v>80</v>
      </c>
      <c r="D160" s="54" t="s">
        <v>378</v>
      </c>
      <c r="E160" s="54" t="s">
        <v>79</v>
      </c>
      <c r="F160" s="54" t="str">
        <f>_xlfn.CONCAT(Table13[[#This Row],[Geographic Scope]],": ",Table13[[#This Row],[Sub-Type/Focus]])</f>
        <v>Regional: Single-Topic</v>
      </c>
      <c r="G160" s="54" t="str">
        <f>_xlfn.CONCAT(Table13[[#This Row],[Geographic Scope]],": ",Table13[[#This Row],[Sub-Type/Focus]],": ",Table13[[#This Row],[Content Type]])</f>
        <v>Regional: Single-Topic: Explanatory &amp; Analysis</v>
      </c>
      <c r="H160" s="54" t="str">
        <f>_xlfn.CONCAT(Table13[[#This Row],[Geographic Scope]],": ",Table13[[#This Row],[Content Type]])</f>
        <v>Regional: Explanatory &amp; Analysis</v>
      </c>
      <c r="I160" s="55">
        <v>1623486.5658333332</v>
      </c>
      <c r="J160" s="55">
        <v>1210988.2324999999</v>
      </c>
      <c r="K160" s="55">
        <v>449998.18181818182</v>
      </c>
      <c r="L160" s="54">
        <v>256565</v>
      </c>
      <c r="M160" s="54">
        <v>76396.666666666672</v>
      </c>
      <c r="N160" s="54">
        <v>1018410.0718181818</v>
      </c>
      <c r="O160" s="54">
        <v>477253.125</v>
      </c>
      <c r="P160" s="54">
        <v>139971.78</v>
      </c>
      <c r="Q160" s="54">
        <v>316317.66083333333</v>
      </c>
      <c r="R160" s="54">
        <v>277943</v>
      </c>
      <c r="S160" s="54">
        <v>62286.166666666664</v>
      </c>
      <c r="T160" s="54">
        <v>536496.6</v>
      </c>
      <c r="U160" s="54">
        <v>45634.5</v>
      </c>
      <c r="V160" s="54">
        <v>577903.5</v>
      </c>
      <c r="W160" s="54">
        <v>3164.5</v>
      </c>
      <c r="X160" s="54">
        <v>109821.2</v>
      </c>
      <c r="Y160" s="54">
        <v>980631.1</v>
      </c>
      <c r="Z160" s="54">
        <v>698778.2</v>
      </c>
      <c r="AA160" s="54">
        <v>1679409.3</v>
      </c>
      <c r="AB160" s="54">
        <v>20.958333333333332</v>
      </c>
      <c r="AC160" s="54">
        <v>13.862499999999999</v>
      </c>
      <c r="AD160" s="54">
        <v>8.5150000000000006</v>
      </c>
      <c r="AE160" s="54">
        <v>494679.05625000002</v>
      </c>
      <c r="AF160" s="54">
        <v>480565.93125000002</v>
      </c>
      <c r="AG160" s="54">
        <v>22581</v>
      </c>
      <c r="AH160" s="54">
        <v>354606.5</v>
      </c>
      <c r="AI160" s="54">
        <v>234050</v>
      </c>
      <c r="AJ160" s="54">
        <v>96328.181249999994</v>
      </c>
      <c r="AK160" s="54">
        <v>47438.084999999999</v>
      </c>
      <c r="AL160" s="54">
        <v>12590.971250000001</v>
      </c>
      <c r="AM160" s="54">
        <v>36299.125</v>
      </c>
      <c r="AN160" s="54">
        <v>3000</v>
      </c>
      <c r="AO160" s="54">
        <v>15702.666666666666</v>
      </c>
      <c r="AP160" s="54">
        <v>0</v>
      </c>
      <c r="AQ160" s="54">
        <v>0</v>
      </c>
      <c r="AR160" s="54">
        <v>0</v>
      </c>
      <c r="AS160" s="54">
        <v>647.5</v>
      </c>
      <c r="AT160" s="54">
        <v>64502</v>
      </c>
      <c r="AU160" s="54">
        <v>304670.5</v>
      </c>
      <c r="AV160" s="54">
        <v>103297.875</v>
      </c>
      <c r="AW160" s="54">
        <v>407968.375</v>
      </c>
      <c r="AX160" s="54">
        <v>5.9285714285714288</v>
      </c>
      <c r="AY160" s="54">
        <v>4.9285714285714288</v>
      </c>
      <c r="AZ160" s="54">
        <v>1.75</v>
      </c>
      <c r="BA160" s="54" t="s">
        <v>342</v>
      </c>
      <c r="BB160" s="54" t="s">
        <v>359</v>
      </c>
    </row>
    <row r="161" spans="1:54" x14ac:dyDescent="0.25">
      <c r="A161" s="54">
        <v>360</v>
      </c>
      <c r="B161" s="54">
        <v>2015</v>
      </c>
      <c r="C161" s="88" t="s">
        <v>80</v>
      </c>
      <c r="D161" s="54" t="s">
        <v>378</v>
      </c>
      <c r="E161" s="54" t="s">
        <v>79</v>
      </c>
      <c r="F161" s="54" t="str">
        <f>_xlfn.CONCAT(Table13[[#This Row],[Geographic Scope]],": ",Table13[[#This Row],[Sub-Type/Focus]])</f>
        <v>Regional: Single-Topic</v>
      </c>
      <c r="G161" s="54" t="str">
        <f>_xlfn.CONCAT(Table13[[#This Row],[Geographic Scope]],": ",Table13[[#This Row],[Sub-Type/Focus]],": ",Table13[[#This Row],[Content Type]])</f>
        <v>Regional: Single-Topic: Explanatory &amp; Analysis</v>
      </c>
      <c r="H161" s="54" t="str">
        <f>_xlfn.CONCAT(Table13[[#This Row],[Geographic Scope]],": ",Table13[[#This Row],[Content Type]])</f>
        <v>Regional: Explanatory &amp; Analysis</v>
      </c>
      <c r="I161" s="55">
        <v>1623486.5658333332</v>
      </c>
      <c r="J161" s="55">
        <v>1210988.2324999999</v>
      </c>
      <c r="K161" s="55">
        <v>449998.18181818182</v>
      </c>
      <c r="L161" s="54">
        <v>256565</v>
      </c>
      <c r="M161" s="54">
        <v>76396.666666666672</v>
      </c>
      <c r="N161" s="54">
        <v>1018410.0718181818</v>
      </c>
      <c r="O161" s="54">
        <v>477253.125</v>
      </c>
      <c r="P161" s="54">
        <v>139971.78</v>
      </c>
      <c r="Q161" s="54">
        <v>316317.66083333333</v>
      </c>
      <c r="R161" s="54">
        <v>277943</v>
      </c>
      <c r="S161" s="54">
        <v>62286.166666666664</v>
      </c>
      <c r="T161" s="54">
        <v>536496.6</v>
      </c>
      <c r="U161" s="54">
        <v>45634.5</v>
      </c>
      <c r="V161" s="54">
        <v>577903.5</v>
      </c>
      <c r="W161" s="54">
        <v>3164.5</v>
      </c>
      <c r="X161" s="54">
        <v>109821.2</v>
      </c>
      <c r="Y161" s="54">
        <v>980631.1</v>
      </c>
      <c r="Z161" s="54">
        <v>698778.2</v>
      </c>
      <c r="AA161" s="54">
        <v>1679409.3</v>
      </c>
      <c r="AB161" s="54">
        <v>20.958333333333332</v>
      </c>
      <c r="AC161" s="54">
        <v>13.862499999999999</v>
      </c>
      <c r="AD161" s="54">
        <v>8.5150000000000006</v>
      </c>
      <c r="AE161" s="54">
        <v>494679.05625000002</v>
      </c>
      <c r="AF161" s="54">
        <v>480565.93125000002</v>
      </c>
      <c r="AG161" s="54">
        <v>22581</v>
      </c>
      <c r="AH161" s="54">
        <v>354606.5</v>
      </c>
      <c r="AI161" s="54">
        <v>234050</v>
      </c>
      <c r="AJ161" s="54">
        <v>96328.181249999994</v>
      </c>
      <c r="AK161" s="54">
        <v>47438.084999999999</v>
      </c>
      <c r="AL161" s="54">
        <v>12590.971250000001</v>
      </c>
      <c r="AM161" s="54">
        <v>36299.125</v>
      </c>
      <c r="AN161" s="54">
        <v>3000</v>
      </c>
      <c r="AO161" s="54">
        <v>15702.666666666666</v>
      </c>
      <c r="AP161" s="54">
        <v>0</v>
      </c>
      <c r="AQ161" s="54">
        <v>0</v>
      </c>
      <c r="AR161" s="54">
        <v>0</v>
      </c>
      <c r="AS161" s="54">
        <v>647.5</v>
      </c>
      <c r="AT161" s="54">
        <v>64502</v>
      </c>
      <c r="AU161" s="54">
        <v>304670.5</v>
      </c>
      <c r="AV161" s="54">
        <v>103297.875</v>
      </c>
      <c r="AW161" s="54">
        <v>407968.375</v>
      </c>
      <c r="AX161" s="54">
        <v>5.9285714285714288</v>
      </c>
      <c r="AY161" s="54">
        <v>4.9285714285714288</v>
      </c>
      <c r="AZ161" s="54">
        <v>1.75</v>
      </c>
      <c r="BA161" s="54" t="s">
        <v>342</v>
      </c>
    </row>
    <row r="162" spans="1:54" x14ac:dyDescent="0.25">
      <c r="A162" s="54">
        <v>364</v>
      </c>
      <c r="B162" s="54">
        <v>2009</v>
      </c>
      <c r="C162" s="88" t="s">
        <v>80</v>
      </c>
      <c r="D162" s="54" t="s">
        <v>378</v>
      </c>
      <c r="E162" s="54" t="s">
        <v>79</v>
      </c>
      <c r="F162" s="54" t="str">
        <f>_xlfn.CONCAT(Table13[[#This Row],[Geographic Scope]],": ",Table13[[#This Row],[Sub-Type/Focus]])</f>
        <v>Regional: Single-Topic</v>
      </c>
      <c r="G162" s="54" t="str">
        <f>_xlfn.CONCAT(Table13[[#This Row],[Geographic Scope]],": ",Table13[[#This Row],[Sub-Type/Focus]],": ",Table13[[#This Row],[Content Type]])</f>
        <v>Regional: Single-Topic: Explanatory &amp; Analysis</v>
      </c>
      <c r="H162" s="54" t="str">
        <f>_xlfn.CONCAT(Table13[[#This Row],[Geographic Scope]],": ",Table13[[#This Row],[Content Type]])</f>
        <v>Regional: Explanatory &amp; Analysis</v>
      </c>
      <c r="I162" s="55">
        <v>1623486.5658333332</v>
      </c>
      <c r="J162" s="55">
        <v>1210988.2324999999</v>
      </c>
      <c r="K162" s="55">
        <v>449998.18181818182</v>
      </c>
      <c r="L162" s="54">
        <v>256565</v>
      </c>
      <c r="M162" s="54">
        <v>76396.666666666672</v>
      </c>
      <c r="N162" s="54">
        <v>1018410.0718181818</v>
      </c>
      <c r="O162" s="54">
        <v>477253.125</v>
      </c>
      <c r="P162" s="54">
        <v>139971.78</v>
      </c>
      <c r="Q162" s="54">
        <v>316317.66083333333</v>
      </c>
      <c r="R162" s="54">
        <v>277943</v>
      </c>
      <c r="S162" s="54">
        <v>62286.166666666664</v>
      </c>
      <c r="T162" s="54">
        <v>536496.6</v>
      </c>
      <c r="U162" s="54">
        <v>45634.5</v>
      </c>
      <c r="V162" s="54">
        <v>577903.5</v>
      </c>
      <c r="W162" s="54">
        <v>3164.5</v>
      </c>
      <c r="X162" s="54">
        <v>109821.2</v>
      </c>
      <c r="Y162" s="54">
        <v>980631.1</v>
      </c>
      <c r="Z162" s="54">
        <v>698778.2</v>
      </c>
      <c r="AA162" s="54">
        <v>1679409.3</v>
      </c>
      <c r="AB162" s="54">
        <v>20.958333333333332</v>
      </c>
      <c r="AC162" s="54">
        <v>13.862499999999999</v>
      </c>
      <c r="AD162" s="54">
        <v>8.5150000000000006</v>
      </c>
      <c r="AE162" s="54">
        <v>494679.05625000002</v>
      </c>
      <c r="AF162" s="54">
        <v>480565.93125000002</v>
      </c>
      <c r="AG162" s="54">
        <v>22581</v>
      </c>
      <c r="AH162" s="54">
        <v>354606.5</v>
      </c>
      <c r="AI162" s="54">
        <v>234050</v>
      </c>
      <c r="AJ162" s="54">
        <v>96328.181249999994</v>
      </c>
      <c r="AK162" s="54">
        <v>47438.084999999999</v>
      </c>
      <c r="AL162" s="54">
        <v>12590.971250000001</v>
      </c>
      <c r="AM162" s="54">
        <v>36299.125</v>
      </c>
      <c r="AN162" s="54">
        <v>3000</v>
      </c>
      <c r="AO162" s="54">
        <v>15702.666666666666</v>
      </c>
      <c r="AP162" s="54">
        <v>0</v>
      </c>
      <c r="AQ162" s="54">
        <v>0</v>
      </c>
      <c r="AR162" s="54">
        <v>0</v>
      </c>
      <c r="AS162" s="54">
        <v>647.5</v>
      </c>
      <c r="AT162" s="54">
        <v>64502</v>
      </c>
      <c r="AU162" s="54">
        <v>304670.5</v>
      </c>
      <c r="AV162" s="54">
        <v>103297.875</v>
      </c>
      <c r="AW162" s="54">
        <v>407968.375</v>
      </c>
      <c r="AX162" s="54">
        <v>5.9285714285714288</v>
      </c>
      <c r="AY162" s="54">
        <v>4.9285714285714288</v>
      </c>
      <c r="AZ162" s="54">
        <v>1.75</v>
      </c>
      <c r="BA162" s="54" t="s">
        <v>339</v>
      </c>
      <c r="BB162" s="54" t="s">
        <v>383</v>
      </c>
    </row>
    <row r="163" spans="1:54" x14ac:dyDescent="0.25">
      <c r="A163" s="54">
        <v>366</v>
      </c>
      <c r="B163" s="54">
        <v>2010</v>
      </c>
      <c r="C163" s="88" t="s">
        <v>80</v>
      </c>
      <c r="D163" s="54" t="s">
        <v>378</v>
      </c>
      <c r="E163" s="54" t="s">
        <v>79</v>
      </c>
      <c r="F163" s="54" t="str">
        <f>_xlfn.CONCAT(Table13[[#This Row],[Geographic Scope]],": ",Table13[[#This Row],[Sub-Type/Focus]])</f>
        <v>Regional: Single-Topic</v>
      </c>
      <c r="G163" s="54" t="str">
        <f>_xlfn.CONCAT(Table13[[#This Row],[Geographic Scope]],": ",Table13[[#This Row],[Sub-Type/Focus]],": ",Table13[[#This Row],[Content Type]])</f>
        <v>Regional: Single-Topic: Explanatory &amp; Analysis</v>
      </c>
      <c r="H163" s="54" t="str">
        <f>_xlfn.CONCAT(Table13[[#This Row],[Geographic Scope]],": ",Table13[[#This Row],[Content Type]])</f>
        <v>Regional: Explanatory &amp; Analysis</v>
      </c>
      <c r="I163" s="55">
        <v>1623486.5658333332</v>
      </c>
      <c r="J163" s="55">
        <v>1210988.2324999999</v>
      </c>
      <c r="K163" s="55">
        <v>449998.18181818182</v>
      </c>
      <c r="L163" s="54">
        <v>256565</v>
      </c>
      <c r="M163" s="54">
        <v>76396.666666666672</v>
      </c>
      <c r="N163" s="54">
        <v>1018410.0718181818</v>
      </c>
      <c r="O163" s="54">
        <v>477253.125</v>
      </c>
      <c r="P163" s="54">
        <v>139971.78</v>
      </c>
      <c r="Q163" s="54">
        <v>316317.66083333333</v>
      </c>
      <c r="R163" s="54">
        <v>277943</v>
      </c>
      <c r="S163" s="54">
        <v>62286.166666666664</v>
      </c>
      <c r="T163" s="54">
        <v>536496.6</v>
      </c>
      <c r="U163" s="54">
        <v>45634.5</v>
      </c>
      <c r="V163" s="54">
        <v>577903.5</v>
      </c>
      <c r="W163" s="54">
        <v>3164.5</v>
      </c>
      <c r="X163" s="54">
        <v>109821.2</v>
      </c>
      <c r="Y163" s="54">
        <v>980631.1</v>
      </c>
      <c r="Z163" s="54">
        <v>698778.2</v>
      </c>
      <c r="AA163" s="54">
        <v>1679409.3</v>
      </c>
      <c r="AB163" s="54">
        <v>20.958333333333332</v>
      </c>
      <c r="AC163" s="54">
        <v>13.862499999999999</v>
      </c>
      <c r="AD163" s="54">
        <v>8.5150000000000006</v>
      </c>
      <c r="AE163" s="54">
        <v>494679.05625000002</v>
      </c>
      <c r="AF163" s="54">
        <v>480565.93125000002</v>
      </c>
      <c r="AG163" s="54">
        <v>22581</v>
      </c>
      <c r="AH163" s="54">
        <v>354606.5</v>
      </c>
      <c r="AI163" s="54">
        <v>234050</v>
      </c>
      <c r="AJ163" s="54">
        <v>96328.181249999994</v>
      </c>
      <c r="AK163" s="54">
        <v>47438.084999999999</v>
      </c>
      <c r="AL163" s="54">
        <v>12590.971250000001</v>
      </c>
      <c r="AM163" s="54">
        <v>36299.125</v>
      </c>
      <c r="AN163" s="54">
        <v>3000</v>
      </c>
      <c r="AO163" s="54">
        <v>15702.666666666666</v>
      </c>
      <c r="AP163" s="54">
        <v>0</v>
      </c>
      <c r="AQ163" s="54">
        <v>0</v>
      </c>
      <c r="AR163" s="54">
        <v>0</v>
      </c>
      <c r="AS163" s="54">
        <v>647.5</v>
      </c>
      <c r="AT163" s="54">
        <v>64502</v>
      </c>
      <c r="AU163" s="54">
        <v>304670.5</v>
      </c>
      <c r="AV163" s="54">
        <v>103297.875</v>
      </c>
      <c r="AW163" s="54">
        <v>407968.375</v>
      </c>
      <c r="AX163" s="54">
        <v>5.9285714285714288</v>
      </c>
      <c r="AY163" s="54">
        <v>4.9285714285714288</v>
      </c>
      <c r="AZ163" s="54">
        <v>1.75</v>
      </c>
      <c r="BA163" s="54" t="s">
        <v>342</v>
      </c>
    </row>
    <row r="164" spans="1:54" x14ac:dyDescent="0.25">
      <c r="A164" s="54">
        <v>3043</v>
      </c>
      <c r="B164" s="54">
        <v>2020</v>
      </c>
      <c r="C164" s="88" t="s">
        <v>81</v>
      </c>
      <c r="D164" s="54" t="s">
        <v>378</v>
      </c>
      <c r="E164" s="54" t="s">
        <v>77</v>
      </c>
      <c r="F164" s="54" t="str">
        <f>_xlfn.CONCAT(Table13[[#This Row],[Geographic Scope]],": ",Table13[[#This Row],[Sub-Type/Focus]])</f>
        <v>Regional: General</v>
      </c>
      <c r="G164" s="54" t="str">
        <f>_xlfn.CONCAT(Table13[[#This Row],[Geographic Scope]],": ",Table13[[#This Row],[Sub-Type/Focus]],": ",Table13[[#This Row],[Content Type]])</f>
        <v>Regional: General: Investigative</v>
      </c>
      <c r="H164" s="54" t="str">
        <f>_xlfn.CONCAT(Table13[[#This Row],[Geographic Scope]],": ",Table13[[#This Row],[Content Type]])</f>
        <v>Regional: Investigative</v>
      </c>
      <c r="I164" s="55">
        <v>302386.95857142855</v>
      </c>
      <c r="J164" s="55">
        <v>292243.81571428571</v>
      </c>
      <c r="K164" s="55">
        <v>23667.333333333332</v>
      </c>
      <c r="L164" s="54">
        <v>182986.57142857142</v>
      </c>
      <c r="M164" s="54">
        <v>95892.333333333328</v>
      </c>
      <c r="N164" s="54">
        <v>79520.618333333332</v>
      </c>
      <c r="O164" s="54">
        <v>17653.251428571431</v>
      </c>
      <c r="P164" s="54">
        <v>8981.1357142857141</v>
      </c>
      <c r="Q164" s="54">
        <v>41526.142857142855</v>
      </c>
      <c r="R164" s="54">
        <v>0</v>
      </c>
      <c r="S164" s="54">
        <v>0</v>
      </c>
      <c r="T164" s="54">
        <v>0</v>
      </c>
      <c r="U164" s="54">
        <v>1500</v>
      </c>
      <c r="V164" s="54">
        <v>0</v>
      </c>
      <c r="W164" s="54">
        <v>5000</v>
      </c>
      <c r="X164" s="54">
        <v>64502</v>
      </c>
      <c r="Y164" s="54">
        <v>197626.66666666666</v>
      </c>
      <c r="Z164" s="54">
        <v>77785.5</v>
      </c>
      <c r="AA164" s="54">
        <v>275412.16666666669</v>
      </c>
      <c r="AB164" s="54">
        <v>4.0277777777777777</v>
      </c>
      <c r="AC164" s="54">
        <v>3.1111111111111112</v>
      </c>
      <c r="AD164" s="54">
        <v>1.65</v>
      </c>
      <c r="AE164" s="54">
        <v>2976577.5579999997</v>
      </c>
      <c r="AF164" s="54">
        <v>2136187.358</v>
      </c>
      <c r="AG164" s="54">
        <v>840390.2</v>
      </c>
      <c r="AH164" s="54">
        <v>154872.75</v>
      </c>
      <c r="AI164" s="54">
        <v>18760</v>
      </c>
      <c r="AJ164" s="54">
        <v>2436495.6974999998</v>
      </c>
      <c r="AK164" s="54">
        <v>1047916.7</v>
      </c>
      <c r="AL164" s="54">
        <v>299559.87199999997</v>
      </c>
      <c r="AM164" s="54">
        <v>601719.98599999992</v>
      </c>
      <c r="AN164" s="54">
        <v>277943</v>
      </c>
      <c r="AO164" s="54">
        <v>108384</v>
      </c>
      <c r="AP164" s="54">
        <v>646976</v>
      </c>
      <c r="AQ164" s="54">
        <v>80483.5</v>
      </c>
      <c r="AR164" s="54">
        <v>914811</v>
      </c>
      <c r="AS164" s="54">
        <v>6129</v>
      </c>
      <c r="AT164" s="54">
        <v>141252</v>
      </c>
      <c r="AU164" s="54">
        <v>1657087.8</v>
      </c>
      <c r="AV164" s="54">
        <v>1667014.8</v>
      </c>
      <c r="AW164" s="54">
        <v>3324102.6</v>
      </c>
      <c r="AX164" s="54">
        <v>24.75</v>
      </c>
      <c r="AY164" s="54">
        <v>13.61</v>
      </c>
      <c r="AZ164" s="54">
        <v>13.925000000000001</v>
      </c>
      <c r="BA164" s="54" t="s">
        <v>342</v>
      </c>
    </row>
    <row r="165" spans="1:54" x14ac:dyDescent="0.25">
      <c r="A165" s="54">
        <v>385</v>
      </c>
      <c r="B165" s="54">
        <v>2017</v>
      </c>
      <c r="C165" s="88" t="s">
        <v>81</v>
      </c>
      <c r="D165" s="54" t="s">
        <v>378</v>
      </c>
      <c r="E165" s="54" t="s">
        <v>78</v>
      </c>
      <c r="F165" s="54" t="str">
        <f>_xlfn.CONCAT(Table13[[#This Row],[Geographic Scope]],": ",Table13[[#This Row],[Sub-Type/Focus]])</f>
        <v>Regional: Multiple Related Topics</v>
      </c>
      <c r="G165" s="54" t="str">
        <f>_xlfn.CONCAT(Table13[[#This Row],[Geographic Scope]],": ",Table13[[#This Row],[Sub-Type/Focus]],": ",Table13[[#This Row],[Content Type]])</f>
        <v>Regional: Multiple Related Topics: Investigative</v>
      </c>
      <c r="H165" s="54" t="str">
        <f>_xlfn.CONCAT(Table13[[#This Row],[Geographic Scope]],": ",Table13[[#This Row],[Content Type]])</f>
        <v>Regional: Investigative</v>
      </c>
      <c r="I165" s="55">
        <v>302386.95857142855</v>
      </c>
      <c r="J165" s="55">
        <v>292243.81571428571</v>
      </c>
      <c r="K165" s="55">
        <v>23667.333333333332</v>
      </c>
      <c r="L165" s="54">
        <v>182986.57142857142</v>
      </c>
      <c r="M165" s="54">
        <v>95892.333333333328</v>
      </c>
      <c r="N165" s="54">
        <v>79520.618333333332</v>
      </c>
      <c r="O165" s="54">
        <v>17653.251428571431</v>
      </c>
      <c r="P165" s="54">
        <v>8981.1357142857141</v>
      </c>
      <c r="Q165" s="54">
        <v>41526.142857142855</v>
      </c>
      <c r="R165" s="54">
        <v>0</v>
      </c>
      <c r="S165" s="54">
        <v>0</v>
      </c>
      <c r="T165" s="54">
        <v>0</v>
      </c>
      <c r="U165" s="54">
        <v>1500</v>
      </c>
      <c r="V165" s="54">
        <v>0</v>
      </c>
      <c r="W165" s="54">
        <v>5000</v>
      </c>
      <c r="X165" s="54">
        <v>64502</v>
      </c>
      <c r="Y165" s="54">
        <v>197626.66666666666</v>
      </c>
      <c r="Z165" s="54">
        <v>77785.5</v>
      </c>
      <c r="AA165" s="54">
        <v>275412.16666666669</v>
      </c>
      <c r="AB165" s="54">
        <v>4.0277777777777777</v>
      </c>
      <c r="AC165" s="54">
        <v>3.1111111111111112</v>
      </c>
      <c r="AD165" s="54">
        <v>1.65</v>
      </c>
      <c r="AE165" s="54">
        <v>379217.72600000002</v>
      </c>
      <c r="AF165" s="54">
        <v>298977.52600000001</v>
      </c>
      <c r="AG165" s="54">
        <v>133733.66666666666</v>
      </c>
      <c r="AH165" s="54">
        <v>153498.6</v>
      </c>
      <c r="AI165" s="54">
        <v>81765.666666666672</v>
      </c>
      <c r="AJ165" s="54">
        <v>134388.02888888889</v>
      </c>
      <c r="AK165" s="54">
        <v>25395.008000000002</v>
      </c>
      <c r="AL165" s="54">
        <v>15304.018</v>
      </c>
      <c r="AM165" s="54">
        <v>80250.2</v>
      </c>
      <c r="AN165" s="54">
        <v>0</v>
      </c>
      <c r="AO165" s="54">
        <v>109112.5</v>
      </c>
      <c r="AP165" s="54">
        <v>94579</v>
      </c>
      <c r="AQ165" s="54">
        <v>7690.333333333333</v>
      </c>
      <c r="AR165" s="54">
        <v>240996</v>
      </c>
      <c r="AS165" s="54">
        <v>5000</v>
      </c>
      <c r="AT165" s="54">
        <v>73510.333333333328</v>
      </c>
      <c r="AU165" s="54">
        <v>155283.5</v>
      </c>
      <c r="AV165" s="54">
        <v>181692.75</v>
      </c>
      <c r="AW165" s="54">
        <v>336976.25</v>
      </c>
      <c r="AX165" s="54">
        <v>7.8863636363636367</v>
      </c>
      <c r="AY165" s="54">
        <v>6.1363636363636367</v>
      </c>
      <c r="AZ165" s="54">
        <v>2.75</v>
      </c>
      <c r="BA165" s="54" t="s">
        <v>342</v>
      </c>
      <c r="BB165" s="54" t="s">
        <v>347</v>
      </c>
    </row>
    <row r="166" spans="1:54" x14ac:dyDescent="0.25">
      <c r="A166" s="54">
        <v>391</v>
      </c>
      <c r="B166" s="54">
        <v>2009</v>
      </c>
      <c r="C166" s="88" t="s">
        <v>81</v>
      </c>
      <c r="D166" s="54" t="s">
        <v>378</v>
      </c>
      <c r="E166" s="54" t="s">
        <v>78</v>
      </c>
      <c r="F166" s="54" t="str">
        <f>_xlfn.CONCAT(Table13[[#This Row],[Geographic Scope]],": ",Table13[[#This Row],[Sub-Type/Focus]])</f>
        <v>Regional: Multiple Related Topics</v>
      </c>
      <c r="G166" s="54" t="str">
        <f>_xlfn.CONCAT(Table13[[#This Row],[Geographic Scope]],": ",Table13[[#This Row],[Sub-Type/Focus]],": ",Table13[[#This Row],[Content Type]])</f>
        <v>Regional: Multiple Related Topics: Investigative</v>
      </c>
      <c r="H166" s="54" t="str">
        <f>_xlfn.CONCAT(Table13[[#This Row],[Geographic Scope]],": ",Table13[[#This Row],[Content Type]])</f>
        <v>Regional: Investigative</v>
      </c>
      <c r="I166" s="55">
        <v>302386.95857142855</v>
      </c>
      <c r="J166" s="55">
        <v>292243.81571428571</v>
      </c>
      <c r="K166" s="55">
        <v>23667.333333333332</v>
      </c>
      <c r="L166" s="54">
        <v>182986.57142857142</v>
      </c>
      <c r="M166" s="54">
        <v>95892.333333333328</v>
      </c>
      <c r="N166" s="54">
        <v>79520.618333333332</v>
      </c>
      <c r="O166" s="54">
        <v>17653.251428571431</v>
      </c>
      <c r="P166" s="54">
        <v>8981.1357142857141</v>
      </c>
      <c r="Q166" s="54">
        <v>41526.142857142855</v>
      </c>
      <c r="R166" s="54">
        <v>0</v>
      </c>
      <c r="S166" s="54">
        <v>0</v>
      </c>
      <c r="T166" s="54">
        <v>0</v>
      </c>
      <c r="U166" s="54">
        <v>1500</v>
      </c>
      <c r="V166" s="54">
        <v>0</v>
      </c>
      <c r="W166" s="54">
        <v>5000</v>
      </c>
      <c r="X166" s="54">
        <v>64502</v>
      </c>
      <c r="Y166" s="54">
        <v>197626.66666666666</v>
      </c>
      <c r="Z166" s="54">
        <v>77785.5</v>
      </c>
      <c r="AA166" s="54">
        <v>275412.16666666669</v>
      </c>
      <c r="AB166" s="54">
        <v>4.0277777777777777</v>
      </c>
      <c r="AC166" s="54">
        <v>3.1111111111111112</v>
      </c>
      <c r="AD166" s="54">
        <v>1.65</v>
      </c>
      <c r="AE166" s="54">
        <v>379217.72600000002</v>
      </c>
      <c r="AF166" s="54">
        <v>298977.52600000001</v>
      </c>
      <c r="AG166" s="54">
        <v>133733.66666666666</v>
      </c>
      <c r="AH166" s="54">
        <v>153498.6</v>
      </c>
      <c r="AI166" s="54">
        <v>81765.666666666672</v>
      </c>
      <c r="AJ166" s="54">
        <v>134388.02888888889</v>
      </c>
      <c r="AK166" s="54">
        <v>25395.008000000002</v>
      </c>
      <c r="AL166" s="54">
        <v>15304.018</v>
      </c>
      <c r="AM166" s="54">
        <v>80250.2</v>
      </c>
      <c r="AN166" s="54">
        <v>0</v>
      </c>
      <c r="AO166" s="54">
        <v>109112.5</v>
      </c>
      <c r="AP166" s="54">
        <v>94579</v>
      </c>
      <c r="AQ166" s="54">
        <v>7690.333333333333</v>
      </c>
      <c r="AR166" s="54">
        <v>240996</v>
      </c>
      <c r="AS166" s="54">
        <v>5000</v>
      </c>
      <c r="AT166" s="54">
        <v>73510.333333333328</v>
      </c>
      <c r="AU166" s="54">
        <v>155283.5</v>
      </c>
      <c r="AV166" s="54">
        <v>181692.75</v>
      </c>
      <c r="AW166" s="54">
        <v>336976.25</v>
      </c>
      <c r="AX166" s="54">
        <v>7.8863636363636367</v>
      </c>
      <c r="AY166" s="54">
        <v>6.1363636363636367</v>
      </c>
      <c r="AZ166" s="54">
        <v>2.75</v>
      </c>
      <c r="BA166" s="54" t="s">
        <v>342</v>
      </c>
      <c r="BB166" s="54" t="s">
        <v>349</v>
      </c>
    </row>
    <row r="167" spans="1:54" x14ac:dyDescent="0.25">
      <c r="A167" s="54">
        <v>454</v>
      </c>
      <c r="B167" s="54">
        <v>2014</v>
      </c>
      <c r="C167" s="88" t="s">
        <v>81</v>
      </c>
      <c r="D167" s="54" t="s">
        <v>378</v>
      </c>
      <c r="E167" s="54" t="s">
        <v>78</v>
      </c>
      <c r="F167" s="54" t="str">
        <f>_xlfn.CONCAT(Table13[[#This Row],[Geographic Scope]],": ",Table13[[#This Row],[Sub-Type/Focus]])</f>
        <v>Regional: Multiple Related Topics</v>
      </c>
      <c r="G167" s="54" t="str">
        <f>_xlfn.CONCAT(Table13[[#This Row],[Geographic Scope]],": ",Table13[[#This Row],[Sub-Type/Focus]],": ",Table13[[#This Row],[Content Type]])</f>
        <v>Regional: Multiple Related Topics: Investigative</v>
      </c>
      <c r="H167" s="54" t="str">
        <f>_xlfn.CONCAT(Table13[[#This Row],[Geographic Scope]],": ",Table13[[#This Row],[Content Type]])</f>
        <v>Regional: Investigative</v>
      </c>
      <c r="I167" s="55">
        <v>302386.95857142855</v>
      </c>
      <c r="J167" s="55">
        <v>292243.81571428571</v>
      </c>
      <c r="K167" s="55">
        <v>23667.333333333332</v>
      </c>
      <c r="L167" s="54">
        <v>182986.57142857142</v>
      </c>
      <c r="M167" s="54">
        <v>95892.333333333328</v>
      </c>
      <c r="N167" s="54">
        <v>79520.618333333332</v>
      </c>
      <c r="O167" s="54">
        <v>17653.251428571431</v>
      </c>
      <c r="P167" s="54">
        <v>8981.1357142857141</v>
      </c>
      <c r="Q167" s="54">
        <v>41526.142857142855</v>
      </c>
      <c r="R167" s="54">
        <v>0</v>
      </c>
      <c r="S167" s="54">
        <v>0</v>
      </c>
      <c r="T167" s="54">
        <v>0</v>
      </c>
      <c r="U167" s="54">
        <v>1500</v>
      </c>
      <c r="V167" s="54">
        <v>0</v>
      </c>
      <c r="W167" s="54">
        <v>5000</v>
      </c>
      <c r="X167" s="54">
        <v>64502</v>
      </c>
      <c r="Y167" s="54">
        <v>197626.66666666666</v>
      </c>
      <c r="Z167" s="54">
        <v>77785.5</v>
      </c>
      <c r="AA167" s="54">
        <v>275412.16666666669</v>
      </c>
      <c r="AB167" s="54">
        <v>4.0277777777777777</v>
      </c>
      <c r="AC167" s="54">
        <v>3.1111111111111112</v>
      </c>
      <c r="AD167" s="54">
        <v>1.65</v>
      </c>
      <c r="AE167" s="54">
        <v>379217.72600000002</v>
      </c>
      <c r="AF167" s="54">
        <v>298977.52600000001</v>
      </c>
      <c r="AG167" s="54">
        <v>133733.66666666666</v>
      </c>
      <c r="AH167" s="54">
        <v>153498.6</v>
      </c>
      <c r="AI167" s="54">
        <v>81765.666666666672</v>
      </c>
      <c r="AJ167" s="54">
        <v>134388.02888888889</v>
      </c>
      <c r="AK167" s="54">
        <v>25395.008000000002</v>
      </c>
      <c r="AL167" s="54">
        <v>15304.018</v>
      </c>
      <c r="AM167" s="54">
        <v>80250.2</v>
      </c>
      <c r="AN167" s="54">
        <v>0</v>
      </c>
      <c r="AO167" s="54">
        <v>109112.5</v>
      </c>
      <c r="AP167" s="54">
        <v>94579</v>
      </c>
      <c r="AQ167" s="54">
        <v>7690.333333333333</v>
      </c>
      <c r="AR167" s="54">
        <v>240996</v>
      </c>
      <c r="AS167" s="54">
        <v>5000</v>
      </c>
      <c r="AT167" s="54">
        <v>73510.333333333328</v>
      </c>
      <c r="AU167" s="54">
        <v>155283.5</v>
      </c>
      <c r="AV167" s="54">
        <v>181692.75</v>
      </c>
      <c r="AW167" s="54">
        <v>336976.25</v>
      </c>
      <c r="AX167" s="54">
        <v>7.8863636363636367</v>
      </c>
      <c r="AY167" s="54">
        <v>6.1363636363636367</v>
      </c>
      <c r="AZ167" s="54">
        <v>2.75</v>
      </c>
      <c r="BA167" s="54" t="s">
        <v>342</v>
      </c>
      <c r="BB167" s="54" t="s">
        <v>346</v>
      </c>
    </row>
    <row r="168" spans="1:54" x14ac:dyDescent="0.25">
      <c r="A168" s="54">
        <v>462</v>
      </c>
      <c r="B168" s="54">
        <v>2018</v>
      </c>
      <c r="C168" s="88" t="s">
        <v>81</v>
      </c>
      <c r="D168" s="54" t="s">
        <v>378</v>
      </c>
      <c r="E168" s="54" t="s">
        <v>78</v>
      </c>
      <c r="F168" s="54" t="str">
        <f>_xlfn.CONCAT(Table13[[#This Row],[Geographic Scope]],": ",Table13[[#This Row],[Sub-Type/Focus]])</f>
        <v>Regional: Multiple Related Topics</v>
      </c>
      <c r="G168" s="54" t="str">
        <f>_xlfn.CONCAT(Table13[[#This Row],[Geographic Scope]],": ",Table13[[#This Row],[Sub-Type/Focus]],": ",Table13[[#This Row],[Content Type]])</f>
        <v>Regional: Multiple Related Topics: Investigative</v>
      </c>
      <c r="H168" s="54" t="str">
        <f>_xlfn.CONCAT(Table13[[#This Row],[Geographic Scope]],": ",Table13[[#This Row],[Content Type]])</f>
        <v>Regional: Investigative</v>
      </c>
      <c r="I168" s="55">
        <v>302386.95857142855</v>
      </c>
      <c r="J168" s="55">
        <v>292243.81571428571</v>
      </c>
      <c r="K168" s="55">
        <v>23667.333333333332</v>
      </c>
      <c r="L168" s="54">
        <v>182986.57142857142</v>
      </c>
      <c r="M168" s="54">
        <v>95892.333333333328</v>
      </c>
      <c r="N168" s="54">
        <v>79520.618333333332</v>
      </c>
      <c r="O168" s="54">
        <v>17653.251428571431</v>
      </c>
      <c r="P168" s="54">
        <v>8981.1357142857141</v>
      </c>
      <c r="Q168" s="54">
        <v>41526.142857142855</v>
      </c>
      <c r="R168" s="54">
        <v>0</v>
      </c>
      <c r="S168" s="54">
        <v>0</v>
      </c>
      <c r="T168" s="54">
        <v>0</v>
      </c>
      <c r="U168" s="54">
        <v>1500</v>
      </c>
      <c r="V168" s="54">
        <v>0</v>
      </c>
      <c r="W168" s="54">
        <v>5000</v>
      </c>
      <c r="X168" s="54">
        <v>64502</v>
      </c>
      <c r="Y168" s="54">
        <v>197626.66666666666</v>
      </c>
      <c r="Z168" s="54">
        <v>77785.5</v>
      </c>
      <c r="AA168" s="54">
        <v>275412.16666666669</v>
      </c>
      <c r="AB168" s="54">
        <v>4.0277777777777777</v>
      </c>
      <c r="AC168" s="54">
        <v>3.1111111111111112</v>
      </c>
      <c r="AD168" s="54">
        <v>1.65</v>
      </c>
      <c r="AE168" s="54">
        <v>379217.72600000002</v>
      </c>
      <c r="AF168" s="54">
        <v>298977.52600000001</v>
      </c>
      <c r="AG168" s="54">
        <v>133733.66666666666</v>
      </c>
      <c r="AH168" s="54">
        <v>153498.6</v>
      </c>
      <c r="AI168" s="54">
        <v>81765.666666666672</v>
      </c>
      <c r="AJ168" s="54">
        <v>134388.02888888889</v>
      </c>
      <c r="AK168" s="54">
        <v>25395.008000000002</v>
      </c>
      <c r="AL168" s="54">
        <v>15304.018</v>
      </c>
      <c r="AM168" s="54">
        <v>80250.2</v>
      </c>
      <c r="AN168" s="54">
        <v>0</v>
      </c>
      <c r="AO168" s="54">
        <v>109112.5</v>
      </c>
      <c r="AP168" s="54">
        <v>94579</v>
      </c>
      <c r="AQ168" s="54">
        <v>7690.333333333333</v>
      </c>
      <c r="AR168" s="54">
        <v>240996</v>
      </c>
      <c r="AS168" s="54">
        <v>5000</v>
      </c>
      <c r="AT168" s="54">
        <v>73510.333333333328</v>
      </c>
      <c r="AU168" s="54">
        <v>155283.5</v>
      </c>
      <c r="AV168" s="54">
        <v>181692.75</v>
      </c>
      <c r="AW168" s="54">
        <v>336976.25</v>
      </c>
      <c r="AX168" s="54">
        <v>7.8863636363636367</v>
      </c>
      <c r="AY168" s="54">
        <v>6.1363636363636367</v>
      </c>
      <c r="AZ168" s="54">
        <v>2.75</v>
      </c>
      <c r="BA168" s="54" t="s">
        <v>343</v>
      </c>
      <c r="BB168" s="54" t="s">
        <v>384</v>
      </c>
    </row>
    <row r="169" spans="1:54" x14ac:dyDescent="0.25">
      <c r="A169" s="54">
        <v>2937</v>
      </c>
      <c r="B169" s="54">
        <v>2020</v>
      </c>
      <c r="C169" s="88" t="s">
        <v>81</v>
      </c>
      <c r="D169" s="54" t="s">
        <v>378</v>
      </c>
      <c r="E169" s="54" t="s">
        <v>78</v>
      </c>
      <c r="F169" s="54" t="str">
        <f>_xlfn.CONCAT(Table13[[#This Row],[Geographic Scope]],": ",Table13[[#This Row],[Sub-Type/Focus]])</f>
        <v>Regional: Multiple Related Topics</v>
      </c>
      <c r="G169" s="54" t="str">
        <f>_xlfn.CONCAT(Table13[[#This Row],[Geographic Scope]],": ",Table13[[#This Row],[Sub-Type/Focus]],": ",Table13[[#This Row],[Content Type]])</f>
        <v>Regional: Multiple Related Topics: Investigative</v>
      </c>
      <c r="H169" s="54" t="str">
        <f>_xlfn.CONCAT(Table13[[#This Row],[Geographic Scope]],": ",Table13[[#This Row],[Content Type]])</f>
        <v>Regional: Investigative</v>
      </c>
      <c r="I169" s="55">
        <v>302386.95857142855</v>
      </c>
      <c r="J169" s="55">
        <v>292243.81571428571</v>
      </c>
      <c r="K169" s="55">
        <v>23667.333333333332</v>
      </c>
      <c r="L169" s="54">
        <v>182986.57142857142</v>
      </c>
      <c r="M169" s="54">
        <v>95892.333333333328</v>
      </c>
      <c r="N169" s="54">
        <v>79520.618333333332</v>
      </c>
      <c r="O169" s="54">
        <v>17653.251428571431</v>
      </c>
      <c r="P169" s="54">
        <v>8981.1357142857141</v>
      </c>
      <c r="Q169" s="54">
        <v>41526.142857142855</v>
      </c>
      <c r="R169" s="54">
        <v>0</v>
      </c>
      <c r="S169" s="54">
        <v>0</v>
      </c>
      <c r="T169" s="54">
        <v>0</v>
      </c>
      <c r="U169" s="54">
        <v>1500</v>
      </c>
      <c r="V169" s="54">
        <v>0</v>
      </c>
      <c r="W169" s="54">
        <v>5000</v>
      </c>
      <c r="X169" s="54">
        <v>64502</v>
      </c>
      <c r="Y169" s="54">
        <v>197626.66666666666</v>
      </c>
      <c r="Z169" s="54">
        <v>77785.5</v>
      </c>
      <c r="AA169" s="54">
        <v>275412.16666666669</v>
      </c>
      <c r="AB169" s="54">
        <v>4.0277777777777777</v>
      </c>
      <c r="AC169" s="54">
        <v>3.1111111111111112</v>
      </c>
      <c r="AD169" s="54">
        <v>1.65</v>
      </c>
      <c r="AE169" s="54">
        <v>379217.72600000002</v>
      </c>
      <c r="AF169" s="54">
        <v>298977.52600000001</v>
      </c>
      <c r="AG169" s="54">
        <v>133733.66666666666</v>
      </c>
      <c r="AH169" s="54">
        <v>153498.6</v>
      </c>
      <c r="AI169" s="54">
        <v>81765.666666666672</v>
      </c>
      <c r="AJ169" s="54">
        <v>134388.02888888889</v>
      </c>
      <c r="AK169" s="54">
        <v>25395.008000000002</v>
      </c>
      <c r="AL169" s="54">
        <v>15304.018</v>
      </c>
      <c r="AM169" s="54">
        <v>80250.2</v>
      </c>
      <c r="AN169" s="54">
        <v>0</v>
      </c>
      <c r="AO169" s="54">
        <v>109112.5</v>
      </c>
      <c r="AP169" s="54">
        <v>94579</v>
      </c>
      <c r="AQ169" s="54">
        <v>7690.333333333333</v>
      </c>
      <c r="AR169" s="54">
        <v>240996</v>
      </c>
      <c r="AS169" s="54">
        <v>5000</v>
      </c>
      <c r="AT169" s="54">
        <v>73510.333333333328</v>
      </c>
      <c r="AU169" s="54">
        <v>155283.5</v>
      </c>
      <c r="AV169" s="54">
        <v>181692.75</v>
      </c>
      <c r="AW169" s="54">
        <v>336976.25</v>
      </c>
      <c r="AX169" s="54">
        <v>7.8863636363636367</v>
      </c>
      <c r="AY169" s="54">
        <v>6.1363636363636367</v>
      </c>
      <c r="AZ169" s="54">
        <v>2.75</v>
      </c>
      <c r="BA169" s="54" t="s">
        <v>339</v>
      </c>
      <c r="BB169" s="54" t="s">
        <v>346</v>
      </c>
    </row>
    <row r="170" spans="1:54" x14ac:dyDescent="0.25">
      <c r="A170" s="54">
        <v>6829</v>
      </c>
      <c r="B170" s="54">
        <v>2017</v>
      </c>
      <c r="C170" s="88" t="s">
        <v>81</v>
      </c>
      <c r="D170" s="54" t="s">
        <v>378</v>
      </c>
      <c r="E170" s="54" t="s">
        <v>78</v>
      </c>
      <c r="F170" s="54" t="str">
        <f>_xlfn.CONCAT(Table13[[#This Row],[Geographic Scope]],": ",Table13[[#This Row],[Sub-Type/Focus]])</f>
        <v>Regional: Multiple Related Topics</v>
      </c>
      <c r="G170" s="54" t="str">
        <f>_xlfn.CONCAT(Table13[[#This Row],[Geographic Scope]],": ",Table13[[#This Row],[Sub-Type/Focus]],": ",Table13[[#This Row],[Content Type]])</f>
        <v>Regional: Multiple Related Topics: Investigative</v>
      </c>
      <c r="H170" s="54" t="str">
        <f>_xlfn.CONCAT(Table13[[#This Row],[Geographic Scope]],": ",Table13[[#This Row],[Content Type]])</f>
        <v>Regional: Investigative</v>
      </c>
      <c r="I170" s="55">
        <v>302386.95857142855</v>
      </c>
      <c r="J170" s="55">
        <v>292243.81571428571</v>
      </c>
      <c r="K170" s="55">
        <v>23667.333333333332</v>
      </c>
      <c r="L170" s="54">
        <v>182986.57142857142</v>
      </c>
      <c r="M170" s="54">
        <v>95892.333333333328</v>
      </c>
      <c r="N170" s="54">
        <v>79520.618333333332</v>
      </c>
      <c r="O170" s="54">
        <v>17653.251428571431</v>
      </c>
      <c r="P170" s="54">
        <v>8981.1357142857141</v>
      </c>
      <c r="Q170" s="54">
        <v>41526.142857142855</v>
      </c>
      <c r="R170" s="54">
        <v>0</v>
      </c>
      <c r="S170" s="54">
        <v>0</v>
      </c>
      <c r="T170" s="54">
        <v>0</v>
      </c>
      <c r="U170" s="54">
        <v>1500</v>
      </c>
      <c r="V170" s="54">
        <v>0</v>
      </c>
      <c r="W170" s="54">
        <v>5000</v>
      </c>
      <c r="X170" s="54">
        <v>64502</v>
      </c>
      <c r="Y170" s="54">
        <v>197626.66666666666</v>
      </c>
      <c r="Z170" s="54">
        <v>77785.5</v>
      </c>
      <c r="AA170" s="54">
        <v>275412.16666666669</v>
      </c>
      <c r="AB170" s="54">
        <v>4.0277777777777777</v>
      </c>
      <c r="AC170" s="54">
        <v>3.1111111111111112</v>
      </c>
      <c r="AD170" s="54">
        <v>1.65</v>
      </c>
      <c r="AE170" s="54">
        <v>379217.72600000002</v>
      </c>
      <c r="AF170" s="54">
        <v>298977.52600000001</v>
      </c>
      <c r="AG170" s="54">
        <v>133733.66666666666</v>
      </c>
      <c r="AH170" s="54">
        <v>153498.6</v>
      </c>
      <c r="AI170" s="54">
        <v>81765.666666666672</v>
      </c>
      <c r="AJ170" s="54">
        <v>134388.02888888889</v>
      </c>
      <c r="AK170" s="54">
        <v>25395.008000000002</v>
      </c>
      <c r="AL170" s="54">
        <v>15304.018</v>
      </c>
      <c r="AM170" s="54">
        <v>80250.2</v>
      </c>
      <c r="AN170" s="54">
        <v>0</v>
      </c>
      <c r="AO170" s="54">
        <v>109112.5</v>
      </c>
      <c r="AP170" s="54">
        <v>94579</v>
      </c>
      <c r="AQ170" s="54">
        <v>7690.333333333333</v>
      </c>
      <c r="AR170" s="54">
        <v>240996</v>
      </c>
      <c r="AS170" s="54">
        <v>5000</v>
      </c>
      <c r="AT170" s="54">
        <v>73510.333333333328</v>
      </c>
      <c r="AU170" s="54">
        <v>155283.5</v>
      </c>
      <c r="AV170" s="54">
        <v>181692.75</v>
      </c>
      <c r="AW170" s="54">
        <v>336976.25</v>
      </c>
      <c r="AX170" s="54">
        <v>7.8863636363636367</v>
      </c>
      <c r="AY170" s="54">
        <v>6.1363636363636367</v>
      </c>
      <c r="AZ170" s="54">
        <v>2.75</v>
      </c>
      <c r="BA170" s="54" t="s">
        <v>342</v>
      </c>
      <c r="BB170" s="54" t="s">
        <v>346</v>
      </c>
    </row>
    <row r="171" spans="1:54" x14ac:dyDescent="0.25">
      <c r="A171" s="54">
        <v>489</v>
      </c>
      <c r="B171" s="54">
        <v>2013</v>
      </c>
      <c r="C171" s="88" t="s">
        <v>81</v>
      </c>
      <c r="D171" s="54" t="s">
        <v>378</v>
      </c>
      <c r="E171" s="54" t="s">
        <v>79</v>
      </c>
      <c r="F171" s="54" t="str">
        <f>_xlfn.CONCAT(Table13[[#This Row],[Geographic Scope]],": ",Table13[[#This Row],[Sub-Type/Focus]])</f>
        <v>Regional: Single-Topic</v>
      </c>
      <c r="G171" s="54" t="str">
        <f>_xlfn.CONCAT(Table13[[#This Row],[Geographic Scope]],": ",Table13[[#This Row],[Sub-Type/Focus]],": ",Table13[[#This Row],[Content Type]])</f>
        <v>Regional: Single-Topic: Investigative</v>
      </c>
      <c r="H171" s="54" t="str">
        <f>_xlfn.CONCAT(Table13[[#This Row],[Geographic Scope]],": ",Table13[[#This Row],[Content Type]])</f>
        <v>Regional: Investigative</v>
      </c>
      <c r="I171" s="55">
        <v>302386.95857142855</v>
      </c>
      <c r="J171" s="55">
        <v>292243.81571428571</v>
      </c>
      <c r="K171" s="55">
        <v>23667.333333333332</v>
      </c>
      <c r="L171" s="54">
        <v>182986.57142857142</v>
      </c>
      <c r="M171" s="54">
        <v>95892.333333333328</v>
      </c>
      <c r="N171" s="54">
        <v>79520.618333333332</v>
      </c>
      <c r="O171" s="54">
        <v>17653.251428571431</v>
      </c>
      <c r="P171" s="54">
        <v>8981.1357142857141</v>
      </c>
      <c r="Q171" s="54">
        <v>41526.142857142855</v>
      </c>
      <c r="R171" s="54">
        <v>0</v>
      </c>
      <c r="S171" s="54">
        <v>0</v>
      </c>
      <c r="T171" s="54">
        <v>0</v>
      </c>
      <c r="U171" s="54">
        <v>1500</v>
      </c>
      <c r="V171" s="54">
        <v>0</v>
      </c>
      <c r="W171" s="54">
        <v>5000</v>
      </c>
      <c r="X171" s="54">
        <v>64502</v>
      </c>
      <c r="Y171" s="54">
        <v>197626.66666666666</v>
      </c>
      <c r="Z171" s="54">
        <v>77785.5</v>
      </c>
      <c r="AA171" s="54">
        <v>275412.16666666669</v>
      </c>
      <c r="AB171" s="54">
        <v>4.0277777777777777</v>
      </c>
      <c r="AC171" s="54">
        <v>3.1111111111111112</v>
      </c>
      <c r="AD171" s="54">
        <v>1.65</v>
      </c>
      <c r="AE171" s="54">
        <v>494679.05625000002</v>
      </c>
      <c r="AF171" s="54">
        <v>480565.93125000002</v>
      </c>
      <c r="AG171" s="54">
        <v>22581</v>
      </c>
      <c r="AH171" s="54">
        <v>354606.5</v>
      </c>
      <c r="AI171" s="54">
        <v>234050</v>
      </c>
      <c r="AJ171" s="54">
        <v>96328.181249999994</v>
      </c>
      <c r="AK171" s="54">
        <v>47438.084999999999</v>
      </c>
      <c r="AL171" s="54">
        <v>12590.971250000001</v>
      </c>
      <c r="AM171" s="54">
        <v>36299.125</v>
      </c>
      <c r="AN171" s="54">
        <v>3000</v>
      </c>
      <c r="AO171" s="54">
        <v>15702.666666666666</v>
      </c>
      <c r="AP171" s="54">
        <v>0</v>
      </c>
      <c r="AQ171" s="54">
        <v>0</v>
      </c>
      <c r="AR171" s="54">
        <v>0</v>
      </c>
      <c r="AS171" s="54">
        <v>647.5</v>
      </c>
      <c r="AT171" s="54">
        <v>64502</v>
      </c>
      <c r="AU171" s="54">
        <v>304670.5</v>
      </c>
      <c r="AV171" s="54">
        <v>103297.875</v>
      </c>
      <c r="AW171" s="54">
        <v>407968.375</v>
      </c>
      <c r="AX171" s="54">
        <v>5.9285714285714288</v>
      </c>
      <c r="AY171" s="54">
        <v>4.9285714285714288</v>
      </c>
      <c r="AZ171" s="54">
        <v>1.75</v>
      </c>
      <c r="BA171" s="54" t="s">
        <v>339</v>
      </c>
      <c r="BB171" s="54" t="s">
        <v>346</v>
      </c>
    </row>
    <row r="172" spans="1:54" x14ac:dyDescent="0.25">
      <c r="A172" s="54">
        <v>2890</v>
      </c>
      <c r="B172" s="54">
        <v>2018</v>
      </c>
      <c r="C172" s="88" t="s">
        <v>81</v>
      </c>
      <c r="D172" s="54" t="s">
        <v>378</v>
      </c>
      <c r="E172" s="54" t="s">
        <v>79</v>
      </c>
      <c r="F172" s="54" t="str">
        <f>_xlfn.CONCAT(Table13[[#This Row],[Geographic Scope]],": ",Table13[[#This Row],[Sub-Type/Focus]])</f>
        <v>Regional: Single-Topic</v>
      </c>
      <c r="G172" s="54" t="str">
        <f>_xlfn.CONCAT(Table13[[#This Row],[Geographic Scope]],": ",Table13[[#This Row],[Sub-Type/Focus]],": ",Table13[[#This Row],[Content Type]])</f>
        <v>Regional: Single-Topic: Investigative</v>
      </c>
      <c r="H172" s="54" t="str">
        <f>_xlfn.CONCAT(Table13[[#This Row],[Geographic Scope]],": ",Table13[[#This Row],[Content Type]])</f>
        <v>Regional: Investigative</v>
      </c>
      <c r="I172" s="55">
        <v>302386.95857142855</v>
      </c>
      <c r="J172" s="55">
        <v>292243.81571428571</v>
      </c>
      <c r="K172" s="55">
        <v>23667.333333333332</v>
      </c>
      <c r="L172" s="54">
        <v>182986.57142857142</v>
      </c>
      <c r="M172" s="54">
        <v>95892.333333333328</v>
      </c>
      <c r="N172" s="54">
        <v>79520.618333333332</v>
      </c>
      <c r="O172" s="54">
        <v>17653.251428571431</v>
      </c>
      <c r="P172" s="54">
        <v>8981.1357142857141</v>
      </c>
      <c r="Q172" s="54">
        <v>41526.142857142855</v>
      </c>
      <c r="R172" s="54">
        <v>0</v>
      </c>
      <c r="S172" s="54">
        <v>0</v>
      </c>
      <c r="T172" s="54">
        <v>0</v>
      </c>
      <c r="U172" s="54">
        <v>1500</v>
      </c>
      <c r="V172" s="54">
        <v>0</v>
      </c>
      <c r="W172" s="54">
        <v>5000</v>
      </c>
      <c r="X172" s="54">
        <v>64502</v>
      </c>
      <c r="Y172" s="54">
        <v>197626.66666666666</v>
      </c>
      <c r="Z172" s="54">
        <v>77785.5</v>
      </c>
      <c r="AA172" s="54">
        <v>275412.16666666669</v>
      </c>
      <c r="AB172" s="54">
        <v>4.0277777777777777</v>
      </c>
      <c r="AC172" s="54">
        <v>3.1111111111111112</v>
      </c>
      <c r="AD172" s="54">
        <v>1.65</v>
      </c>
      <c r="AE172" s="54">
        <v>494679.05625000002</v>
      </c>
      <c r="AF172" s="54">
        <v>480565.93125000002</v>
      </c>
      <c r="AG172" s="54">
        <v>22581</v>
      </c>
      <c r="AH172" s="54">
        <v>354606.5</v>
      </c>
      <c r="AI172" s="54">
        <v>234050</v>
      </c>
      <c r="AJ172" s="54">
        <v>96328.181249999994</v>
      </c>
      <c r="AK172" s="54">
        <v>47438.084999999999</v>
      </c>
      <c r="AL172" s="54">
        <v>12590.971250000001</v>
      </c>
      <c r="AM172" s="54">
        <v>36299.125</v>
      </c>
      <c r="AN172" s="54">
        <v>3000</v>
      </c>
      <c r="AO172" s="54">
        <v>15702.666666666666</v>
      </c>
      <c r="AP172" s="54">
        <v>0</v>
      </c>
      <c r="AQ172" s="54">
        <v>0</v>
      </c>
      <c r="AR172" s="54">
        <v>0</v>
      </c>
      <c r="AS172" s="54">
        <v>647.5</v>
      </c>
      <c r="AT172" s="54">
        <v>64502</v>
      </c>
      <c r="AU172" s="54">
        <v>304670.5</v>
      </c>
      <c r="AV172" s="54">
        <v>103297.875</v>
      </c>
      <c r="AW172" s="54">
        <v>407968.375</v>
      </c>
      <c r="AX172" s="54">
        <v>5.9285714285714288</v>
      </c>
      <c r="AY172" s="54">
        <v>4.9285714285714288</v>
      </c>
      <c r="AZ172" s="54">
        <v>1.75</v>
      </c>
      <c r="BA172" s="54" t="s">
        <v>342</v>
      </c>
      <c r="BB172" s="54" t="s">
        <v>347</v>
      </c>
    </row>
    <row r="173" spans="1:54" x14ac:dyDescent="0.25">
      <c r="B173" s="54">
        <v>2010</v>
      </c>
      <c r="D173" s="54" t="s">
        <v>83</v>
      </c>
      <c r="E173" s="54" t="s">
        <v>78</v>
      </c>
      <c r="F173" s="54" t="str">
        <f>_xlfn.CONCAT(Table13[[#This Row],[Geographic Scope]],": ",Table13[[#This Row],[Sub-Type/Focus]])</f>
        <v>State: Multiple Related Topics</v>
      </c>
      <c r="G173" s="54" t="str">
        <f>_xlfn.CONCAT(Table13[[#This Row],[Geographic Scope]],": ",Table13[[#This Row],[Sub-Type/Focus]],": ",Table13[[#This Row],[Content Type]])</f>
        <v xml:space="preserve">State: Multiple Related Topics: </v>
      </c>
      <c r="H173" s="54" t="str">
        <f>_xlfn.CONCAT(Table13[[#This Row],[Geographic Scope]],": ",Table13[[#This Row],[Content Type]])</f>
        <v xml:space="preserve">State: </v>
      </c>
      <c r="I173" s="55">
        <v>117150</v>
      </c>
      <c r="J173" s="55">
        <v>114950</v>
      </c>
      <c r="K173" s="55">
        <v>2200</v>
      </c>
      <c r="L173" s="54">
        <v>70950</v>
      </c>
      <c r="M173" s="54">
        <v>0</v>
      </c>
      <c r="N173" s="54">
        <v>44000</v>
      </c>
      <c r="O173" s="54">
        <v>30000</v>
      </c>
      <c r="P173" s="54">
        <v>4000</v>
      </c>
      <c r="Q173" s="54">
        <v>10000</v>
      </c>
      <c r="R173" s="54">
        <v>0</v>
      </c>
      <c r="S173" s="54">
        <v>0</v>
      </c>
      <c r="T173" s="54">
        <v>0</v>
      </c>
      <c r="U173" s="54">
        <v>2200</v>
      </c>
      <c r="V173" s="54">
        <v>0</v>
      </c>
      <c r="W173" s="54">
        <v>0</v>
      </c>
      <c r="X173" s="54">
        <v>0</v>
      </c>
      <c r="Y173" s="54">
        <v>80000</v>
      </c>
      <c r="Z173" s="54">
        <v>11000</v>
      </c>
      <c r="AA173" s="54">
        <v>91000</v>
      </c>
      <c r="AB173" s="54">
        <v>1</v>
      </c>
      <c r="AC173" s="54">
        <v>1</v>
      </c>
      <c r="AD173" s="54" t="e">
        <v>#DIV/0!</v>
      </c>
      <c r="AE173" s="54">
        <v>1541170.3630434782</v>
      </c>
      <c r="AF173" s="54">
        <v>1346854.4286956524</v>
      </c>
      <c r="AG173" s="54">
        <v>279329.15562500001</v>
      </c>
      <c r="AH173" s="54">
        <v>633893.65956521744</v>
      </c>
      <c r="AI173" s="54">
        <v>237186.25</v>
      </c>
      <c r="AJ173" s="54">
        <v>655924.42260869569</v>
      </c>
      <c r="AK173" s="54">
        <v>237936.28086956521</v>
      </c>
      <c r="AL173" s="54">
        <v>52563.75304347826</v>
      </c>
      <c r="AM173" s="54">
        <v>365424.38869565213</v>
      </c>
      <c r="AN173" s="54">
        <v>45386.371249999997</v>
      </c>
      <c r="AO173" s="54">
        <v>74800.399999999994</v>
      </c>
      <c r="AP173" s="54">
        <v>169225.22222222222</v>
      </c>
      <c r="AQ173" s="54">
        <v>229109.72111111111</v>
      </c>
      <c r="AR173" s="54">
        <v>149874</v>
      </c>
      <c r="AS173" s="54">
        <v>46890.400000000001</v>
      </c>
      <c r="AT173" s="54">
        <v>17989.142857142859</v>
      </c>
      <c r="AU173" s="54">
        <v>835167.6508695652</v>
      </c>
      <c r="AV173" s="54">
        <v>568741.83956521738</v>
      </c>
      <c r="AW173" s="54">
        <v>1403909.4904347826</v>
      </c>
      <c r="AX173" s="54">
        <v>11.945384615384617</v>
      </c>
      <c r="AY173" s="54">
        <v>9.08</v>
      </c>
      <c r="AZ173" s="54">
        <v>4.65625</v>
      </c>
      <c r="BA173" s="54" t="s">
        <v>342</v>
      </c>
      <c r="BB173" s="54" t="s">
        <v>347</v>
      </c>
    </row>
    <row r="174" spans="1:54" x14ac:dyDescent="0.25">
      <c r="A174" s="54">
        <v>433</v>
      </c>
      <c r="B174" s="54">
        <v>2018</v>
      </c>
      <c r="C174" s="88" t="s">
        <v>82</v>
      </c>
      <c r="D174" s="54" t="s">
        <v>83</v>
      </c>
      <c r="E174" s="54" t="s">
        <v>77</v>
      </c>
      <c r="F174" s="54" t="str">
        <f>_xlfn.CONCAT(Table13[[#This Row],[Geographic Scope]],": ",Table13[[#This Row],[Sub-Type/Focus]])</f>
        <v>State: General</v>
      </c>
      <c r="G174" s="54" t="str">
        <f>_xlfn.CONCAT(Table13[[#This Row],[Geographic Scope]],": ",Table13[[#This Row],[Sub-Type/Focus]],": ",Table13[[#This Row],[Content Type]])</f>
        <v>State: General: Current News &amp; Events</v>
      </c>
      <c r="H174" s="54" t="str">
        <f>_xlfn.CONCAT(Table13[[#This Row],[Geographic Scope]],": ",Table13[[#This Row],[Content Type]])</f>
        <v>State: Current News &amp; Events</v>
      </c>
      <c r="I174" s="55">
        <v>1233357.83</v>
      </c>
      <c r="J174" s="55">
        <v>739066.58499999996</v>
      </c>
      <c r="K174" s="55">
        <v>659054.99333333329</v>
      </c>
      <c r="L174" s="54">
        <v>336159.25142857141</v>
      </c>
      <c r="M174" s="54">
        <v>121919.34000000001</v>
      </c>
      <c r="N174" s="54">
        <v>393708.89187499997</v>
      </c>
      <c r="O174" s="54">
        <v>182334.329375</v>
      </c>
      <c r="P174" s="54">
        <v>50752.1875</v>
      </c>
      <c r="Q174" s="54">
        <v>160622.375</v>
      </c>
      <c r="R174" s="54">
        <v>56716.943749999999</v>
      </c>
      <c r="S174" s="54">
        <v>471950.66666666669</v>
      </c>
      <c r="T174" s="54">
        <v>315529.25</v>
      </c>
      <c r="U174" s="54">
        <v>50651.75</v>
      </c>
      <c r="V174" s="54">
        <v>5088</v>
      </c>
      <c r="W174" s="54">
        <v>40360.984000000004</v>
      </c>
      <c r="X174" s="54">
        <v>238135.77777777778</v>
      </c>
      <c r="Y174" s="54">
        <v>493891.46750000003</v>
      </c>
      <c r="Z174" s="54">
        <v>395528.54749999999</v>
      </c>
      <c r="AA174" s="54">
        <v>889420.01500000001</v>
      </c>
      <c r="AB174" s="54">
        <v>7.8999999999999995</v>
      </c>
      <c r="AC174" s="54">
        <v>5.9361111111111109</v>
      </c>
      <c r="AD174" s="54">
        <v>3.2136363636363638</v>
      </c>
      <c r="AE174" s="54">
        <v>1430480.5480000002</v>
      </c>
      <c r="AF174" s="54">
        <v>766813.45039999997</v>
      </c>
      <c r="AG174" s="54">
        <v>975981.02588235307</v>
      </c>
      <c r="AH174" s="54">
        <v>336452.80375000002</v>
      </c>
      <c r="AI174" s="54">
        <v>408926.20400000003</v>
      </c>
      <c r="AJ174" s="54">
        <v>350007.61600000004</v>
      </c>
      <c r="AK174" s="54">
        <v>134596.64920000004</v>
      </c>
      <c r="AL174" s="54">
        <v>40407.599999999999</v>
      </c>
      <c r="AM174" s="54">
        <v>175003.36679999999</v>
      </c>
      <c r="AN174" s="54">
        <v>50107.924999999996</v>
      </c>
      <c r="AO174" s="54">
        <v>743481.6</v>
      </c>
      <c r="AP174" s="54">
        <v>289910.64</v>
      </c>
      <c r="AQ174" s="54">
        <v>86295.495999999999</v>
      </c>
      <c r="AR174" s="54">
        <v>602544</v>
      </c>
      <c r="AS174" s="54">
        <v>94092.274285714288</v>
      </c>
      <c r="AT174" s="54">
        <v>615836.75</v>
      </c>
      <c r="AU174" s="54">
        <v>694815.35583333333</v>
      </c>
      <c r="AV174" s="54">
        <v>394945.14399999997</v>
      </c>
      <c r="AW174" s="54">
        <v>1061967.8855999999</v>
      </c>
      <c r="AX174" s="54">
        <v>9.6148148148148156</v>
      </c>
      <c r="AY174" s="54">
        <v>7.3055555555555554</v>
      </c>
      <c r="AZ174" s="54">
        <v>3.6676470588235297</v>
      </c>
      <c r="BA174" s="54" t="s">
        <v>343</v>
      </c>
      <c r="BB174" s="54" t="s">
        <v>366</v>
      </c>
    </row>
    <row r="175" spans="1:54" x14ac:dyDescent="0.25">
      <c r="A175" s="54">
        <v>450</v>
      </c>
      <c r="B175" s="54">
        <v>1956</v>
      </c>
      <c r="C175" s="88" t="s">
        <v>82</v>
      </c>
      <c r="D175" s="54" t="s">
        <v>83</v>
      </c>
      <c r="E175" s="54" t="s">
        <v>77</v>
      </c>
      <c r="F175" s="54" t="str">
        <f>_xlfn.CONCAT(Table13[[#This Row],[Geographic Scope]],": ",Table13[[#This Row],[Sub-Type/Focus]])</f>
        <v>State: General</v>
      </c>
      <c r="G175" s="54" t="str">
        <f>_xlfn.CONCAT(Table13[[#This Row],[Geographic Scope]],": ",Table13[[#This Row],[Sub-Type/Focus]],": ",Table13[[#This Row],[Content Type]])</f>
        <v>State: General: Current News &amp; Events</v>
      </c>
      <c r="H175" s="54" t="str">
        <f>_xlfn.CONCAT(Table13[[#This Row],[Geographic Scope]],": ",Table13[[#This Row],[Content Type]])</f>
        <v>State: Current News &amp; Events</v>
      </c>
      <c r="I175" s="55">
        <v>1233357.83</v>
      </c>
      <c r="J175" s="55">
        <v>739066.58499999996</v>
      </c>
      <c r="K175" s="55">
        <v>659054.99333333329</v>
      </c>
      <c r="L175" s="54">
        <v>336159.25142857141</v>
      </c>
      <c r="M175" s="54">
        <v>121919.34000000001</v>
      </c>
      <c r="N175" s="54">
        <v>393708.89187499997</v>
      </c>
      <c r="O175" s="54">
        <v>182334.329375</v>
      </c>
      <c r="P175" s="54">
        <v>50752.1875</v>
      </c>
      <c r="Q175" s="54">
        <v>160622.375</v>
      </c>
      <c r="R175" s="54">
        <v>56716.943749999999</v>
      </c>
      <c r="S175" s="54">
        <v>471950.66666666669</v>
      </c>
      <c r="T175" s="54">
        <v>315529.25</v>
      </c>
      <c r="U175" s="54">
        <v>50651.75</v>
      </c>
      <c r="V175" s="54">
        <v>5088</v>
      </c>
      <c r="W175" s="54">
        <v>40360.984000000004</v>
      </c>
      <c r="X175" s="54">
        <v>238135.77777777778</v>
      </c>
      <c r="Y175" s="54">
        <v>493891.46750000003</v>
      </c>
      <c r="Z175" s="54">
        <v>395528.54749999999</v>
      </c>
      <c r="AA175" s="54">
        <v>889420.01500000001</v>
      </c>
      <c r="AB175" s="54">
        <v>7.8999999999999995</v>
      </c>
      <c r="AC175" s="54">
        <v>5.9361111111111109</v>
      </c>
      <c r="AD175" s="54">
        <v>3.2136363636363638</v>
      </c>
      <c r="AE175" s="54">
        <v>1430480.5480000002</v>
      </c>
      <c r="AF175" s="54">
        <v>766813.45039999997</v>
      </c>
      <c r="AG175" s="54">
        <v>975981.02588235307</v>
      </c>
      <c r="AH175" s="54">
        <v>336452.80375000002</v>
      </c>
      <c r="AI175" s="54">
        <v>408926.20400000003</v>
      </c>
      <c r="AJ175" s="54">
        <v>350007.61600000004</v>
      </c>
      <c r="AK175" s="54">
        <v>134596.64920000004</v>
      </c>
      <c r="AL175" s="54">
        <v>40407.599999999999</v>
      </c>
      <c r="AM175" s="54">
        <v>175003.36679999999</v>
      </c>
      <c r="AN175" s="54">
        <v>50107.924999999996</v>
      </c>
      <c r="AO175" s="54">
        <v>743481.6</v>
      </c>
      <c r="AP175" s="54">
        <v>289910.64</v>
      </c>
      <c r="AQ175" s="54">
        <v>86295.495999999999</v>
      </c>
      <c r="AR175" s="54">
        <v>602544</v>
      </c>
      <c r="AS175" s="54">
        <v>94092.274285714288</v>
      </c>
      <c r="AT175" s="54">
        <v>615836.75</v>
      </c>
      <c r="AU175" s="54">
        <v>694815.35583333333</v>
      </c>
      <c r="AV175" s="54">
        <v>394945.14399999997</v>
      </c>
      <c r="AW175" s="54">
        <v>1061967.8855999999</v>
      </c>
      <c r="AX175" s="54">
        <v>9.6148148148148156</v>
      </c>
      <c r="AY175" s="54">
        <v>7.3055555555555554</v>
      </c>
      <c r="AZ175" s="54">
        <v>3.6676470588235297</v>
      </c>
      <c r="BA175" s="54" t="s">
        <v>343</v>
      </c>
      <c r="BB175" s="54" t="s">
        <v>381</v>
      </c>
    </row>
    <row r="176" spans="1:54" x14ac:dyDescent="0.25">
      <c r="A176" s="54">
        <v>468</v>
      </c>
      <c r="B176" s="54">
        <v>1954</v>
      </c>
      <c r="C176" s="88" t="s">
        <v>82</v>
      </c>
      <c r="D176" s="54" t="s">
        <v>83</v>
      </c>
      <c r="E176" s="54" t="s">
        <v>77</v>
      </c>
      <c r="F176" s="54" t="str">
        <f>_xlfn.CONCAT(Table13[[#This Row],[Geographic Scope]],": ",Table13[[#This Row],[Sub-Type/Focus]])</f>
        <v>State: General</v>
      </c>
      <c r="G176" s="54" t="str">
        <f>_xlfn.CONCAT(Table13[[#This Row],[Geographic Scope]],": ",Table13[[#This Row],[Sub-Type/Focus]],": ",Table13[[#This Row],[Content Type]])</f>
        <v>State: General: Current News &amp; Events</v>
      </c>
      <c r="H176" s="54" t="str">
        <f>_xlfn.CONCAT(Table13[[#This Row],[Geographic Scope]],": ",Table13[[#This Row],[Content Type]])</f>
        <v>State: Current News &amp; Events</v>
      </c>
      <c r="I176" s="55">
        <v>1233357.83</v>
      </c>
      <c r="J176" s="55">
        <v>739066.58499999996</v>
      </c>
      <c r="K176" s="55">
        <v>659054.99333333329</v>
      </c>
      <c r="L176" s="54">
        <v>336159.25142857141</v>
      </c>
      <c r="M176" s="54">
        <v>121919.34000000001</v>
      </c>
      <c r="N176" s="54">
        <v>393708.89187499997</v>
      </c>
      <c r="O176" s="54">
        <v>182334.329375</v>
      </c>
      <c r="P176" s="54">
        <v>50752.1875</v>
      </c>
      <c r="Q176" s="54">
        <v>160622.375</v>
      </c>
      <c r="R176" s="54">
        <v>56716.943749999999</v>
      </c>
      <c r="S176" s="54">
        <v>471950.66666666669</v>
      </c>
      <c r="T176" s="54">
        <v>315529.25</v>
      </c>
      <c r="U176" s="54">
        <v>50651.75</v>
      </c>
      <c r="V176" s="54">
        <v>5088</v>
      </c>
      <c r="W176" s="54">
        <v>40360.984000000004</v>
      </c>
      <c r="X176" s="54">
        <v>238135.77777777778</v>
      </c>
      <c r="Y176" s="54">
        <v>493891.46750000003</v>
      </c>
      <c r="Z176" s="54">
        <v>395528.54749999999</v>
      </c>
      <c r="AA176" s="54">
        <v>889420.01500000001</v>
      </c>
      <c r="AB176" s="54">
        <v>7.8999999999999995</v>
      </c>
      <c r="AC176" s="54">
        <v>5.9361111111111109</v>
      </c>
      <c r="AD176" s="54">
        <v>3.2136363636363638</v>
      </c>
      <c r="AE176" s="54">
        <v>1430480.5480000002</v>
      </c>
      <c r="AF176" s="54">
        <v>766813.45039999997</v>
      </c>
      <c r="AG176" s="54">
        <v>975981.02588235307</v>
      </c>
      <c r="AH176" s="54">
        <v>336452.80375000002</v>
      </c>
      <c r="AI176" s="54">
        <v>408926.20400000003</v>
      </c>
      <c r="AJ176" s="54">
        <v>350007.61600000004</v>
      </c>
      <c r="AK176" s="54">
        <v>134596.64920000004</v>
      </c>
      <c r="AL176" s="54">
        <v>40407.599999999999</v>
      </c>
      <c r="AM176" s="54">
        <v>175003.36679999999</v>
      </c>
      <c r="AN176" s="54">
        <v>50107.924999999996</v>
      </c>
      <c r="AO176" s="54">
        <v>743481.6</v>
      </c>
      <c r="AP176" s="54">
        <v>289910.64</v>
      </c>
      <c r="AQ176" s="54">
        <v>86295.495999999999</v>
      </c>
      <c r="AR176" s="54">
        <v>602544</v>
      </c>
      <c r="AS176" s="54">
        <v>94092.274285714288</v>
      </c>
      <c r="AT176" s="54">
        <v>615836.75</v>
      </c>
      <c r="AU176" s="54">
        <v>694815.35583333333</v>
      </c>
      <c r="AV176" s="54">
        <v>394945.14399999997</v>
      </c>
      <c r="AW176" s="54">
        <v>1061967.8855999999</v>
      </c>
      <c r="AX176" s="54">
        <v>9.6148148148148156</v>
      </c>
      <c r="AY176" s="54">
        <v>7.3055555555555554</v>
      </c>
      <c r="AZ176" s="54">
        <v>3.6676470588235297</v>
      </c>
      <c r="BA176" s="54" t="s">
        <v>339</v>
      </c>
      <c r="BB176" s="54" t="s">
        <v>385</v>
      </c>
    </row>
    <row r="177" spans="1:54" x14ac:dyDescent="0.25">
      <c r="A177" s="54">
        <v>481</v>
      </c>
      <c r="B177" s="54">
        <v>2015</v>
      </c>
      <c r="C177" s="88" t="s">
        <v>82</v>
      </c>
      <c r="D177" s="54" t="s">
        <v>83</v>
      </c>
      <c r="E177" s="54" t="s">
        <v>77</v>
      </c>
      <c r="F177" s="54" t="str">
        <f>_xlfn.CONCAT(Table13[[#This Row],[Geographic Scope]],": ",Table13[[#This Row],[Sub-Type/Focus]])</f>
        <v>State: General</v>
      </c>
      <c r="G177" s="54" t="str">
        <f>_xlfn.CONCAT(Table13[[#This Row],[Geographic Scope]],": ",Table13[[#This Row],[Sub-Type/Focus]],": ",Table13[[#This Row],[Content Type]])</f>
        <v>State: General: Current News &amp; Events</v>
      </c>
      <c r="H177" s="54" t="str">
        <f>_xlfn.CONCAT(Table13[[#This Row],[Geographic Scope]],": ",Table13[[#This Row],[Content Type]])</f>
        <v>State: Current News &amp; Events</v>
      </c>
      <c r="I177" s="55">
        <v>1233357.83</v>
      </c>
      <c r="J177" s="55">
        <v>739066.58499999996</v>
      </c>
      <c r="K177" s="55">
        <v>659054.99333333329</v>
      </c>
      <c r="L177" s="54">
        <v>336159.25142857141</v>
      </c>
      <c r="M177" s="54">
        <v>121919.34000000001</v>
      </c>
      <c r="N177" s="54">
        <v>393708.89187499997</v>
      </c>
      <c r="O177" s="54">
        <v>182334.329375</v>
      </c>
      <c r="P177" s="54">
        <v>50752.1875</v>
      </c>
      <c r="Q177" s="54">
        <v>160622.375</v>
      </c>
      <c r="R177" s="54">
        <v>56716.943749999999</v>
      </c>
      <c r="S177" s="54">
        <v>471950.66666666669</v>
      </c>
      <c r="T177" s="54">
        <v>315529.25</v>
      </c>
      <c r="U177" s="54">
        <v>50651.75</v>
      </c>
      <c r="V177" s="54">
        <v>5088</v>
      </c>
      <c r="W177" s="54">
        <v>40360.984000000004</v>
      </c>
      <c r="X177" s="54">
        <v>238135.77777777778</v>
      </c>
      <c r="Y177" s="54">
        <v>493891.46750000003</v>
      </c>
      <c r="Z177" s="54">
        <v>395528.54749999999</v>
      </c>
      <c r="AA177" s="54">
        <v>889420.01500000001</v>
      </c>
      <c r="AB177" s="54">
        <v>7.8999999999999995</v>
      </c>
      <c r="AC177" s="54">
        <v>5.9361111111111109</v>
      </c>
      <c r="AD177" s="54">
        <v>3.2136363636363638</v>
      </c>
      <c r="AE177" s="54">
        <v>1430480.5480000002</v>
      </c>
      <c r="AF177" s="54">
        <v>766813.45039999997</v>
      </c>
      <c r="AG177" s="54">
        <v>975981.02588235307</v>
      </c>
      <c r="AH177" s="54">
        <v>336452.80375000002</v>
      </c>
      <c r="AI177" s="54">
        <v>408926.20400000003</v>
      </c>
      <c r="AJ177" s="54">
        <v>350007.61600000004</v>
      </c>
      <c r="AK177" s="54">
        <v>134596.64920000004</v>
      </c>
      <c r="AL177" s="54">
        <v>40407.599999999999</v>
      </c>
      <c r="AM177" s="54">
        <v>175003.36679999999</v>
      </c>
      <c r="AN177" s="54">
        <v>50107.924999999996</v>
      </c>
      <c r="AO177" s="54">
        <v>743481.6</v>
      </c>
      <c r="AP177" s="54">
        <v>289910.64</v>
      </c>
      <c r="AQ177" s="54">
        <v>86295.495999999999</v>
      </c>
      <c r="AR177" s="54">
        <v>602544</v>
      </c>
      <c r="AS177" s="54">
        <v>94092.274285714288</v>
      </c>
      <c r="AT177" s="54">
        <v>615836.75</v>
      </c>
      <c r="AU177" s="54">
        <v>694815.35583333333</v>
      </c>
      <c r="AV177" s="54">
        <v>394945.14399999997</v>
      </c>
      <c r="AW177" s="54">
        <v>1061967.8855999999</v>
      </c>
      <c r="AX177" s="54">
        <v>9.6148148148148156</v>
      </c>
      <c r="AY177" s="54">
        <v>7.3055555555555554</v>
      </c>
      <c r="AZ177" s="54">
        <v>3.6676470588235297</v>
      </c>
      <c r="BA177" s="54" t="s">
        <v>342</v>
      </c>
      <c r="BB177" s="54" t="s">
        <v>347</v>
      </c>
    </row>
    <row r="178" spans="1:54" x14ac:dyDescent="0.25">
      <c r="A178" s="54">
        <v>511</v>
      </c>
      <c r="B178" s="54">
        <v>2009</v>
      </c>
      <c r="C178" s="88" t="s">
        <v>82</v>
      </c>
      <c r="D178" s="54" t="s">
        <v>83</v>
      </c>
      <c r="E178" s="54" t="s">
        <v>77</v>
      </c>
      <c r="F178" s="54" t="str">
        <f>_xlfn.CONCAT(Table13[[#This Row],[Geographic Scope]],": ",Table13[[#This Row],[Sub-Type/Focus]])</f>
        <v>State: General</v>
      </c>
      <c r="G178" s="54" t="str">
        <f>_xlfn.CONCAT(Table13[[#This Row],[Geographic Scope]],": ",Table13[[#This Row],[Sub-Type/Focus]],": ",Table13[[#This Row],[Content Type]])</f>
        <v>State: General: Current News &amp; Events</v>
      </c>
      <c r="H178" s="54" t="str">
        <f>_xlfn.CONCAT(Table13[[#This Row],[Geographic Scope]],": ",Table13[[#This Row],[Content Type]])</f>
        <v>State: Current News &amp; Events</v>
      </c>
      <c r="I178" s="55">
        <v>1233357.83</v>
      </c>
      <c r="J178" s="55">
        <v>739066.58499999996</v>
      </c>
      <c r="K178" s="55">
        <v>659054.99333333329</v>
      </c>
      <c r="L178" s="54">
        <v>336159.25142857141</v>
      </c>
      <c r="M178" s="54">
        <v>121919.34000000001</v>
      </c>
      <c r="N178" s="54">
        <v>393708.89187499997</v>
      </c>
      <c r="O178" s="54">
        <v>182334.329375</v>
      </c>
      <c r="P178" s="54">
        <v>50752.1875</v>
      </c>
      <c r="Q178" s="54">
        <v>160622.375</v>
      </c>
      <c r="R178" s="54">
        <v>56716.943749999999</v>
      </c>
      <c r="S178" s="54">
        <v>471950.66666666669</v>
      </c>
      <c r="T178" s="54">
        <v>315529.25</v>
      </c>
      <c r="U178" s="54">
        <v>50651.75</v>
      </c>
      <c r="V178" s="54">
        <v>5088</v>
      </c>
      <c r="W178" s="54">
        <v>40360.984000000004</v>
      </c>
      <c r="X178" s="54">
        <v>238135.77777777778</v>
      </c>
      <c r="Y178" s="54">
        <v>493891.46750000003</v>
      </c>
      <c r="Z178" s="54">
        <v>395528.54749999999</v>
      </c>
      <c r="AA178" s="54">
        <v>889420.01500000001</v>
      </c>
      <c r="AB178" s="54">
        <v>7.8999999999999995</v>
      </c>
      <c r="AC178" s="54">
        <v>5.9361111111111109</v>
      </c>
      <c r="AD178" s="54">
        <v>3.2136363636363638</v>
      </c>
      <c r="AE178" s="54">
        <v>1430480.5480000002</v>
      </c>
      <c r="AF178" s="54">
        <v>766813.45039999997</v>
      </c>
      <c r="AG178" s="54">
        <v>975981.02588235307</v>
      </c>
      <c r="AH178" s="54">
        <v>336452.80375000002</v>
      </c>
      <c r="AI178" s="54">
        <v>408926.20400000003</v>
      </c>
      <c r="AJ178" s="54">
        <v>350007.61600000004</v>
      </c>
      <c r="AK178" s="54">
        <v>134596.64920000004</v>
      </c>
      <c r="AL178" s="54">
        <v>40407.599999999999</v>
      </c>
      <c r="AM178" s="54">
        <v>175003.36679999999</v>
      </c>
      <c r="AN178" s="54">
        <v>50107.924999999996</v>
      </c>
      <c r="AO178" s="54">
        <v>743481.6</v>
      </c>
      <c r="AP178" s="54">
        <v>289910.64</v>
      </c>
      <c r="AQ178" s="54">
        <v>86295.495999999999</v>
      </c>
      <c r="AR178" s="54">
        <v>602544</v>
      </c>
      <c r="AS178" s="54">
        <v>94092.274285714288</v>
      </c>
      <c r="AT178" s="54">
        <v>615836.75</v>
      </c>
      <c r="AU178" s="54">
        <v>694815.35583333333</v>
      </c>
      <c r="AV178" s="54">
        <v>394945.14399999997</v>
      </c>
      <c r="AW178" s="54">
        <v>1061967.8855999999</v>
      </c>
      <c r="AX178" s="54">
        <v>9.6148148148148156</v>
      </c>
      <c r="AY178" s="54">
        <v>7.3055555555555554</v>
      </c>
      <c r="AZ178" s="54">
        <v>3.6676470588235297</v>
      </c>
      <c r="BA178" s="54" t="s">
        <v>342</v>
      </c>
      <c r="BB178" s="54" t="s">
        <v>350</v>
      </c>
    </row>
    <row r="179" spans="1:54" x14ac:dyDescent="0.25">
      <c r="A179" s="54">
        <v>2529</v>
      </c>
      <c r="B179" s="54">
        <v>2017</v>
      </c>
      <c r="C179" s="88" t="s">
        <v>82</v>
      </c>
      <c r="D179" s="54" t="s">
        <v>83</v>
      </c>
      <c r="E179" s="54" t="s">
        <v>77</v>
      </c>
      <c r="F179" s="54" t="str">
        <f>_xlfn.CONCAT(Table13[[#This Row],[Geographic Scope]],": ",Table13[[#This Row],[Sub-Type/Focus]])</f>
        <v>State: General</v>
      </c>
      <c r="G179" s="54" t="str">
        <f>_xlfn.CONCAT(Table13[[#This Row],[Geographic Scope]],": ",Table13[[#This Row],[Sub-Type/Focus]],": ",Table13[[#This Row],[Content Type]])</f>
        <v>State: General: Current News &amp; Events</v>
      </c>
      <c r="H179" s="54" t="str">
        <f>_xlfn.CONCAT(Table13[[#This Row],[Geographic Scope]],": ",Table13[[#This Row],[Content Type]])</f>
        <v>State: Current News &amp; Events</v>
      </c>
      <c r="I179" s="55">
        <v>1233357.83</v>
      </c>
      <c r="J179" s="55">
        <v>739066.58499999996</v>
      </c>
      <c r="K179" s="55">
        <v>659054.99333333329</v>
      </c>
      <c r="L179" s="54">
        <v>336159.25142857141</v>
      </c>
      <c r="M179" s="54">
        <v>121919.34000000001</v>
      </c>
      <c r="N179" s="54">
        <v>393708.89187499997</v>
      </c>
      <c r="O179" s="54">
        <v>182334.329375</v>
      </c>
      <c r="P179" s="54">
        <v>50752.1875</v>
      </c>
      <c r="Q179" s="54">
        <v>160622.375</v>
      </c>
      <c r="R179" s="54">
        <v>56716.943749999999</v>
      </c>
      <c r="S179" s="54">
        <v>471950.66666666669</v>
      </c>
      <c r="T179" s="54">
        <v>315529.25</v>
      </c>
      <c r="U179" s="54">
        <v>50651.75</v>
      </c>
      <c r="V179" s="54">
        <v>5088</v>
      </c>
      <c r="W179" s="54">
        <v>40360.984000000004</v>
      </c>
      <c r="X179" s="54">
        <v>238135.77777777778</v>
      </c>
      <c r="Y179" s="54">
        <v>493891.46750000003</v>
      </c>
      <c r="Z179" s="54">
        <v>395528.54749999999</v>
      </c>
      <c r="AA179" s="54">
        <v>889420.01500000001</v>
      </c>
      <c r="AB179" s="54">
        <v>7.8999999999999995</v>
      </c>
      <c r="AC179" s="54">
        <v>5.9361111111111109</v>
      </c>
      <c r="AD179" s="54">
        <v>3.2136363636363638</v>
      </c>
      <c r="AE179" s="54">
        <v>1430480.5480000002</v>
      </c>
      <c r="AF179" s="54">
        <v>766813.45039999997</v>
      </c>
      <c r="AG179" s="54">
        <v>975981.02588235307</v>
      </c>
      <c r="AH179" s="54">
        <v>336452.80375000002</v>
      </c>
      <c r="AI179" s="54">
        <v>408926.20400000003</v>
      </c>
      <c r="AJ179" s="54">
        <v>350007.61600000004</v>
      </c>
      <c r="AK179" s="54">
        <v>134596.64920000004</v>
      </c>
      <c r="AL179" s="54">
        <v>40407.599999999999</v>
      </c>
      <c r="AM179" s="54">
        <v>175003.36679999999</v>
      </c>
      <c r="AN179" s="54">
        <v>50107.924999999996</v>
      </c>
      <c r="AO179" s="54">
        <v>743481.6</v>
      </c>
      <c r="AP179" s="54">
        <v>289910.64</v>
      </c>
      <c r="AQ179" s="54">
        <v>86295.495999999999</v>
      </c>
      <c r="AR179" s="54">
        <v>602544</v>
      </c>
      <c r="AS179" s="54">
        <v>94092.274285714288</v>
      </c>
      <c r="AT179" s="54">
        <v>615836.75</v>
      </c>
      <c r="AU179" s="54">
        <v>694815.35583333333</v>
      </c>
      <c r="AV179" s="54">
        <v>394945.14399999997</v>
      </c>
      <c r="AW179" s="54">
        <v>1061967.8855999999</v>
      </c>
      <c r="AX179" s="54">
        <v>9.6148148148148156</v>
      </c>
      <c r="AY179" s="54">
        <v>7.3055555555555554</v>
      </c>
      <c r="AZ179" s="54">
        <v>3.6676470588235297</v>
      </c>
      <c r="BA179" s="54" t="s">
        <v>339</v>
      </c>
      <c r="BB179" s="54" t="s">
        <v>385</v>
      </c>
    </row>
    <row r="180" spans="1:54" x14ac:dyDescent="0.25">
      <c r="A180" s="54">
        <v>2916</v>
      </c>
      <c r="B180" s="54">
        <v>1980</v>
      </c>
      <c r="C180" s="88" t="s">
        <v>82</v>
      </c>
      <c r="D180" s="54" t="s">
        <v>83</v>
      </c>
      <c r="E180" s="54" t="s">
        <v>77</v>
      </c>
      <c r="F180" s="54" t="str">
        <f>_xlfn.CONCAT(Table13[[#This Row],[Geographic Scope]],": ",Table13[[#This Row],[Sub-Type/Focus]])</f>
        <v>State: General</v>
      </c>
      <c r="G180" s="54" t="str">
        <f>_xlfn.CONCAT(Table13[[#This Row],[Geographic Scope]],": ",Table13[[#This Row],[Sub-Type/Focus]],": ",Table13[[#This Row],[Content Type]])</f>
        <v>State: General: Current News &amp; Events</v>
      </c>
      <c r="H180" s="54" t="str">
        <f>_xlfn.CONCAT(Table13[[#This Row],[Geographic Scope]],": ",Table13[[#This Row],[Content Type]])</f>
        <v>State: Current News &amp; Events</v>
      </c>
      <c r="I180" s="55">
        <v>1233357.83</v>
      </c>
      <c r="J180" s="55">
        <v>739066.58499999996</v>
      </c>
      <c r="K180" s="55">
        <v>659054.99333333329</v>
      </c>
      <c r="L180" s="54">
        <v>336159.25142857141</v>
      </c>
      <c r="M180" s="54">
        <v>121919.34000000001</v>
      </c>
      <c r="N180" s="54">
        <v>393708.89187499997</v>
      </c>
      <c r="O180" s="54">
        <v>182334.329375</v>
      </c>
      <c r="P180" s="54">
        <v>50752.1875</v>
      </c>
      <c r="Q180" s="54">
        <v>160622.375</v>
      </c>
      <c r="R180" s="54">
        <v>56716.943749999999</v>
      </c>
      <c r="S180" s="54">
        <v>471950.66666666669</v>
      </c>
      <c r="T180" s="54">
        <v>315529.25</v>
      </c>
      <c r="U180" s="54">
        <v>50651.75</v>
      </c>
      <c r="V180" s="54">
        <v>5088</v>
      </c>
      <c r="W180" s="54">
        <v>40360.984000000004</v>
      </c>
      <c r="X180" s="54">
        <v>238135.77777777778</v>
      </c>
      <c r="Y180" s="54">
        <v>493891.46750000003</v>
      </c>
      <c r="Z180" s="54">
        <v>395528.54749999999</v>
      </c>
      <c r="AA180" s="54">
        <v>889420.01500000001</v>
      </c>
      <c r="AB180" s="54">
        <v>7.8999999999999995</v>
      </c>
      <c r="AC180" s="54">
        <v>5.9361111111111109</v>
      </c>
      <c r="AD180" s="54">
        <v>3.2136363636363638</v>
      </c>
      <c r="AE180" s="54">
        <v>1430480.5480000002</v>
      </c>
      <c r="AF180" s="54">
        <v>766813.45039999997</v>
      </c>
      <c r="AG180" s="54">
        <v>975981.02588235307</v>
      </c>
      <c r="AH180" s="54">
        <v>336452.80375000002</v>
      </c>
      <c r="AI180" s="54">
        <v>408926.20400000003</v>
      </c>
      <c r="AJ180" s="54">
        <v>350007.61600000004</v>
      </c>
      <c r="AK180" s="54">
        <v>134596.64920000004</v>
      </c>
      <c r="AL180" s="54">
        <v>40407.599999999999</v>
      </c>
      <c r="AM180" s="54">
        <v>175003.36679999999</v>
      </c>
      <c r="AN180" s="54">
        <v>50107.924999999996</v>
      </c>
      <c r="AO180" s="54">
        <v>743481.6</v>
      </c>
      <c r="AP180" s="54">
        <v>289910.64</v>
      </c>
      <c r="AQ180" s="54">
        <v>86295.495999999999</v>
      </c>
      <c r="AR180" s="54">
        <v>602544</v>
      </c>
      <c r="AS180" s="54">
        <v>94092.274285714288</v>
      </c>
      <c r="AT180" s="54">
        <v>615836.75</v>
      </c>
      <c r="AU180" s="54">
        <v>694815.35583333333</v>
      </c>
      <c r="AV180" s="54">
        <v>394945.14399999997</v>
      </c>
      <c r="AW180" s="54">
        <v>1061967.8855999999</v>
      </c>
      <c r="AX180" s="54">
        <v>9.6148148148148156</v>
      </c>
      <c r="AY180" s="54">
        <v>7.3055555555555554</v>
      </c>
      <c r="AZ180" s="54">
        <v>3.6676470588235297</v>
      </c>
      <c r="BA180" s="54" t="s">
        <v>343</v>
      </c>
      <c r="BB180" s="54" t="s">
        <v>386</v>
      </c>
    </row>
    <row r="181" spans="1:54" x14ac:dyDescent="0.25">
      <c r="A181" s="54">
        <v>2920</v>
      </c>
      <c r="B181" s="54">
        <v>2019</v>
      </c>
      <c r="C181" s="88" t="s">
        <v>82</v>
      </c>
      <c r="D181" s="54" t="s">
        <v>83</v>
      </c>
      <c r="E181" s="54" t="s">
        <v>77</v>
      </c>
      <c r="F181" s="54" t="str">
        <f>_xlfn.CONCAT(Table13[[#This Row],[Geographic Scope]],": ",Table13[[#This Row],[Sub-Type/Focus]])</f>
        <v>State: General</v>
      </c>
      <c r="G181" s="54" t="str">
        <f>_xlfn.CONCAT(Table13[[#This Row],[Geographic Scope]],": ",Table13[[#This Row],[Sub-Type/Focus]],": ",Table13[[#This Row],[Content Type]])</f>
        <v>State: General: Current News &amp; Events</v>
      </c>
      <c r="H181" s="54" t="str">
        <f>_xlfn.CONCAT(Table13[[#This Row],[Geographic Scope]],": ",Table13[[#This Row],[Content Type]])</f>
        <v>State: Current News &amp; Events</v>
      </c>
      <c r="I181" s="55">
        <v>1233357.83</v>
      </c>
      <c r="J181" s="55">
        <v>739066.58499999996</v>
      </c>
      <c r="K181" s="55">
        <v>659054.99333333329</v>
      </c>
      <c r="L181" s="54">
        <v>336159.25142857141</v>
      </c>
      <c r="M181" s="54">
        <v>121919.34000000001</v>
      </c>
      <c r="N181" s="54">
        <v>393708.89187499997</v>
      </c>
      <c r="O181" s="54">
        <v>182334.329375</v>
      </c>
      <c r="P181" s="54">
        <v>50752.1875</v>
      </c>
      <c r="Q181" s="54">
        <v>160622.375</v>
      </c>
      <c r="R181" s="54">
        <v>56716.943749999999</v>
      </c>
      <c r="S181" s="54">
        <v>471950.66666666669</v>
      </c>
      <c r="T181" s="54">
        <v>315529.25</v>
      </c>
      <c r="U181" s="54">
        <v>50651.75</v>
      </c>
      <c r="V181" s="54">
        <v>5088</v>
      </c>
      <c r="W181" s="54">
        <v>40360.984000000004</v>
      </c>
      <c r="X181" s="54">
        <v>238135.77777777778</v>
      </c>
      <c r="Y181" s="54">
        <v>493891.46750000003</v>
      </c>
      <c r="Z181" s="54">
        <v>395528.54749999999</v>
      </c>
      <c r="AA181" s="54">
        <v>889420.01500000001</v>
      </c>
      <c r="AB181" s="54">
        <v>7.8999999999999995</v>
      </c>
      <c r="AC181" s="54">
        <v>5.9361111111111109</v>
      </c>
      <c r="AD181" s="54">
        <v>3.2136363636363638</v>
      </c>
      <c r="AE181" s="54">
        <v>1430480.5480000002</v>
      </c>
      <c r="AF181" s="54">
        <v>766813.45039999997</v>
      </c>
      <c r="AG181" s="54">
        <v>975981.02588235307</v>
      </c>
      <c r="AH181" s="54">
        <v>336452.80375000002</v>
      </c>
      <c r="AI181" s="54">
        <v>408926.20400000003</v>
      </c>
      <c r="AJ181" s="54">
        <v>350007.61600000004</v>
      </c>
      <c r="AK181" s="54">
        <v>134596.64920000004</v>
      </c>
      <c r="AL181" s="54">
        <v>40407.599999999999</v>
      </c>
      <c r="AM181" s="54">
        <v>175003.36679999999</v>
      </c>
      <c r="AN181" s="54">
        <v>50107.924999999996</v>
      </c>
      <c r="AO181" s="54">
        <v>743481.6</v>
      </c>
      <c r="AP181" s="54">
        <v>289910.64</v>
      </c>
      <c r="AQ181" s="54">
        <v>86295.495999999999</v>
      </c>
      <c r="AR181" s="54">
        <v>602544</v>
      </c>
      <c r="AS181" s="54">
        <v>94092.274285714288</v>
      </c>
      <c r="AT181" s="54">
        <v>615836.75</v>
      </c>
      <c r="AU181" s="54">
        <v>694815.35583333333</v>
      </c>
      <c r="AV181" s="54">
        <v>394945.14399999997</v>
      </c>
      <c r="AW181" s="54">
        <v>1061967.8855999999</v>
      </c>
      <c r="AX181" s="54">
        <v>9.6148148148148156</v>
      </c>
      <c r="AY181" s="54">
        <v>7.3055555555555554</v>
      </c>
      <c r="AZ181" s="54">
        <v>3.6676470588235297</v>
      </c>
      <c r="BA181" s="54" t="s">
        <v>342</v>
      </c>
      <c r="BB181" s="54" t="s">
        <v>371</v>
      </c>
    </row>
    <row r="182" spans="1:54" x14ac:dyDescent="0.25">
      <c r="A182" s="54">
        <v>6803</v>
      </c>
      <c r="B182" s="54">
        <v>2020</v>
      </c>
      <c r="C182" s="88" t="s">
        <v>82</v>
      </c>
      <c r="D182" s="54" t="s">
        <v>83</v>
      </c>
      <c r="E182" s="54" t="s">
        <v>77</v>
      </c>
      <c r="F182" s="54" t="str">
        <f>_xlfn.CONCAT(Table13[[#This Row],[Geographic Scope]],": ",Table13[[#This Row],[Sub-Type/Focus]])</f>
        <v>State: General</v>
      </c>
      <c r="G182" s="54" t="str">
        <f>_xlfn.CONCAT(Table13[[#This Row],[Geographic Scope]],": ",Table13[[#This Row],[Sub-Type/Focus]],": ",Table13[[#This Row],[Content Type]])</f>
        <v>State: General: Current News &amp; Events</v>
      </c>
      <c r="H182" s="54" t="str">
        <f>_xlfn.CONCAT(Table13[[#This Row],[Geographic Scope]],": ",Table13[[#This Row],[Content Type]])</f>
        <v>State: Current News &amp; Events</v>
      </c>
      <c r="I182" s="55">
        <v>1233357.83</v>
      </c>
      <c r="J182" s="55">
        <v>739066.58499999996</v>
      </c>
      <c r="K182" s="55">
        <v>659054.99333333329</v>
      </c>
      <c r="L182" s="54">
        <v>336159.25142857141</v>
      </c>
      <c r="M182" s="54">
        <v>121919.34000000001</v>
      </c>
      <c r="N182" s="54">
        <v>393708.89187499997</v>
      </c>
      <c r="O182" s="54">
        <v>182334.329375</v>
      </c>
      <c r="P182" s="54">
        <v>50752.1875</v>
      </c>
      <c r="Q182" s="54">
        <v>160622.375</v>
      </c>
      <c r="R182" s="54">
        <v>56716.943749999999</v>
      </c>
      <c r="S182" s="54">
        <v>471950.66666666669</v>
      </c>
      <c r="T182" s="54">
        <v>315529.25</v>
      </c>
      <c r="U182" s="54">
        <v>50651.75</v>
      </c>
      <c r="V182" s="54">
        <v>5088</v>
      </c>
      <c r="W182" s="54">
        <v>40360.984000000004</v>
      </c>
      <c r="X182" s="54">
        <v>238135.77777777778</v>
      </c>
      <c r="Y182" s="54">
        <v>493891.46750000003</v>
      </c>
      <c r="Z182" s="54">
        <v>395528.54749999999</v>
      </c>
      <c r="AA182" s="54">
        <v>889420.01500000001</v>
      </c>
      <c r="AB182" s="54">
        <v>7.8999999999999995</v>
      </c>
      <c r="AC182" s="54">
        <v>5.9361111111111109</v>
      </c>
      <c r="AD182" s="54">
        <v>3.2136363636363638</v>
      </c>
      <c r="AE182" s="54">
        <v>1430480.5480000002</v>
      </c>
      <c r="AF182" s="54">
        <v>766813.45039999997</v>
      </c>
      <c r="AG182" s="54">
        <v>975981.02588235307</v>
      </c>
      <c r="AH182" s="54">
        <v>336452.80375000002</v>
      </c>
      <c r="AI182" s="54">
        <v>408926.20400000003</v>
      </c>
      <c r="AJ182" s="54">
        <v>350007.61600000004</v>
      </c>
      <c r="AK182" s="54">
        <v>134596.64920000004</v>
      </c>
      <c r="AL182" s="54">
        <v>40407.599999999999</v>
      </c>
      <c r="AM182" s="54">
        <v>175003.36679999999</v>
      </c>
      <c r="AN182" s="54">
        <v>50107.924999999996</v>
      </c>
      <c r="AO182" s="54">
        <v>743481.6</v>
      </c>
      <c r="AP182" s="54">
        <v>289910.64</v>
      </c>
      <c r="AQ182" s="54">
        <v>86295.495999999999</v>
      </c>
      <c r="AR182" s="54">
        <v>602544</v>
      </c>
      <c r="AS182" s="54">
        <v>94092.274285714288</v>
      </c>
      <c r="AT182" s="54">
        <v>615836.75</v>
      </c>
      <c r="AU182" s="54">
        <v>694815.35583333333</v>
      </c>
      <c r="AV182" s="54">
        <v>394945.14399999997</v>
      </c>
      <c r="AW182" s="54">
        <v>1061967.8855999999</v>
      </c>
      <c r="AX182" s="54">
        <v>9.6148148148148156</v>
      </c>
      <c r="AY182" s="54">
        <v>7.3055555555555554</v>
      </c>
      <c r="AZ182" s="54">
        <v>3.6676470588235297</v>
      </c>
      <c r="BA182" s="54" t="s">
        <v>342</v>
      </c>
    </row>
    <row r="183" spans="1:54" x14ac:dyDescent="0.25">
      <c r="A183" s="54">
        <v>6808</v>
      </c>
      <c r="B183" s="54">
        <v>2010</v>
      </c>
      <c r="C183" s="88" t="s">
        <v>82</v>
      </c>
      <c r="D183" s="54" t="s">
        <v>83</v>
      </c>
      <c r="E183" s="54" t="s">
        <v>77</v>
      </c>
      <c r="F183" s="54" t="str">
        <f>_xlfn.CONCAT(Table13[[#This Row],[Geographic Scope]],": ",Table13[[#This Row],[Sub-Type/Focus]])</f>
        <v>State: General</v>
      </c>
      <c r="G183" s="54" t="str">
        <f>_xlfn.CONCAT(Table13[[#This Row],[Geographic Scope]],": ",Table13[[#This Row],[Sub-Type/Focus]],": ",Table13[[#This Row],[Content Type]])</f>
        <v>State: General: Current News &amp; Events</v>
      </c>
      <c r="H183" s="54" t="str">
        <f>_xlfn.CONCAT(Table13[[#This Row],[Geographic Scope]],": ",Table13[[#This Row],[Content Type]])</f>
        <v>State: Current News &amp; Events</v>
      </c>
      <c r="I183" s="55">
        <v>1233357.83</v>
      </c>
      <c r="J183" s="55">
        <v>739066.58499999996</v>
      </c>
      <c r="K183" s="55">
        <v>659054.99333333329</v>
      </c>
      <c r="L183" s="54">
        <v>336159.25142857141</v>
      </c>
      <c r="M183" s="54">
        <v>121919.34000000001</v>
      </c>
      <c r="N183" s="54">
        <v>393708.89187499997</v>
      </c>
      <c r="O183" s="54">
        <v>182334.329375</v>
      </c>
      <c r="P183" s="54">
        <v>50752.1875</v>
      </c>
      <c r="Q183" s="54">
        <v>160622.375</v>
      </c>
      <c r="R183" s="54">
        <v>56716.943749999999</v>
      </c>
      <c r="S183" s="54">
        <v>471950.66666666669</v>
      </c>
      <c r="T183" s="54">
        <v>315529.25</v>
      </c>
      <c r="U183" s="54">
        <v>50651.75</v>
      </c>
      <c r="V183" s="54">
        <v>5088</v>
      </c>
      <c r="W183" s="54">
        <v>40360.984000000004</v>
      </c>
      <c r="X183" s="54">
        <v>238135.77777777778</v>
      </c>
      <c r="Y183" s="54">
        <v>493891.46750000003</v>
      </c>
      <c r="Z183" s="54">
        <v>395528.54749999999</v>
      </c>
      <c r="AA183" s="54">
        <v>889420.01500000001</v>
      </c>
      <c r="AB183" s="54">
        <v>7.8999999999999995</v>
      </c>
      <c r="AC183" s="54">
        <v>5.9361111111111109</v>
      </c>
      <c r="AD183" s="54">
        <v>3.2136363636363638</v>
      </c>
      <c r="AE183" s="54">
        <v>1430480.5480000002</v>
      </c>
      <c r="AF183" s="54">
        <v>766813.45039999997</v>
      </c>
      <c r="AG183" s="54">
        <v>975981.02588235307</v>
      </c>
      <c r="AH183" s="54">
        <v>336452.80375000002</v>
      </c>
      <c r="AI183" s="54">
        <v>408926.20400000003</v>
      </c>
      <c r="AJ183" s="54">
        <v>350007.61600000004</v>
      </c>
      <c r="AK183" s="54">
        <v>134596.64920000004</v>
      </c>
      <c r="AL183" s="54">
        <v>40407.599999999999</v>
      </c>
      <c r="AM183" s="54">
        <v>175003.36679999999</v>
      </c>
      <c r="AN183" s="54">
        <v>50107.924999999996</v>
      </c>
      <c r="AO183" s="54">
        <v>743481.6</v>
      </c>
      <c r="AP183" s="54">
        <v>289910.64</v>
      </c>
      <c r="AQ183" s="54">
        <v>86295.495999999999</v>
      </c>
      <c r="AR183" s="54">
        <v>602544</v>
      </c>
      <c r="AS183" s="54">
        <v>94092.274285714288</v>
      </c>
      <c r="AT183" s="54">
        <v>615836.75</v>
      </c>
      <c r="AU183" s="54">
        <v>694815.35583333333</v>
      </c>
      <c r="AV183" s="54">
        <v>394945.14399999997</v>
      </c>
      <c r="AW183" s="54">
        <v>1061967.8855999999</v>
      </c>
      <c r="AX183" s="54">
        <v>9.6148148148148156</v>
      </c>
      <c r="AY183" s="54">
        <v>7.3055555555555554</v>
      </c>
      <c r="AZ183" s="54">
        <v>3.6676470588235297</v>
      </c>
      <c r="BA183" s="54" t="s">
        <v>373</v>
      </c>
      <c r="BB183" s="54" t="s">
        <v>352</v>
      </c>
    </row>
    <row r="184" spans="1:54" x14ac:dyDescent="0.25">
      <c r="A184" s="54">
        <v>405</v>
      </c>
      <c r="B184" s="54">
        <v>2017</v>
      </c>
      <c r="C184" s="88" t="s">
        <v>82</v>
      </c>
      <c r="D184" s="54" t="s">
        <v>83</v>
      </c>
      <c r="E184" s="54" t="s">
        <v>78</v>
      </c>
      <c r="F184" s="54" t="str">
        <f>_xlfn.CONCAT(Table13[[#This Row],[Geographic Scope]],": ",Table13[[#This Row],[Sub-Type/Focus]])</f>
        <v>State: Multiple Related Topics</v>
      </c>
      <c r="G184" s="54" t="str">
        <f>_xlfn.CONCAT(Table13[[#This Row],[Geographic Scope]],": ",Table13[[#This Row],[Sub-Type/Focus]],": ",Table13[[#This Row],[Content Type]])</f>
        <v>State: Multiple Related Topics: Current News &amp; Events</v>
      </c>
      <c r="H184" s="54" t="str">
        <f>_xlfn.CONCAT(Table13[[#This Row],[Geographic Scope]],": ",Table13[[#This Row],[Content Type]])</f>
        <v>State: Current News &amp; Events</v>
      </c>
      <c r="I184" s="55">
        <v>1233357.83</v>
      </c>
      <c r="J184" s="55">
        <v>739066.58499999996</v>
      </c>
      <c r="K184" s="55">
        <v>659054.99333333329</v>
      </c>
      <c r="L184" s="54">
        <v>336159.25142857141</v>
      </c>
      <c r="M184" s="54">
        <v>121919.34000000001</v>
      </c>
      <c r="N184" s="54">
        <v>393708.89187499997</v>
      </c>
      <c r="O184" s="54">
        <v>182334.329375</v>
      </c>
      <c r="P184" s="54">
        <v>50752.1875</v>
      </c>
      <c r="Q184" s="54">
        <v>160622.375</v>
      </c>
      <c r="R184" s="54">
        <v>56716.943749999999</v>
      </c>
      <c r="S184" s="54">
        <v>471950.66666666669</v>
      </c>
      <c r="T184" s="54">
        <v>315529.25</v>
      </c>
      <c r="U184" s="54">
        <v>50651.75</v>
      </c>
      <c r="V184" s="54">
        <v>5088</v>
      </c>
      <c r="W184" s="54">
        <v>40360.984000000004</v>
      </c>
      <c r="X184" s="54">
        <v>238135.77777777778</v>
      </c>
      <c r="Y184" s="54">
        <v>493891.46750000003</v>
      </c>
      <c r="Z184" s="54">
        <v>395528.54749999999</v>
      </c>
      <c r="AA184" s="54">
        <v>889420.01500000001</v>
      </c>
      <c r="AB184" s="54">
        <v>7.8999999999999995</v>
      </c>
      <c r="AC184" s="54">
        <v>5.9361111111111109</v>
      </c>
      <c r="AD184" s="54">
        <v>3.2136363636363638</v>
      </c>
      <c r="AE184" s="54">
        <v>1541170.3630434782</v>
      </c>
      <c r="AF184" s="54">
        <v>1346854.4286956524</v>
      </c>
      <c r="AG184" s="54">
        <v>279329.15562500001</v>
      </c>
      <c r="AH184" s="54">
        <v>633893.65956521744</v>
      </c>
      <c r="AI184" s="54">
        <v>237186.25</v>
      </c>
      <c r="AJ184" s="54">
        <v>655924.42260869569</v>
      </c>
      <c r="AK184" s="54">
        <v>237936.28086956521</v>
      </c>
      <c r="AL184" s="54">
        <v>52563.75304347826</v>
      </c>
      <c r="AM184" s="54">
        <v>365424.38869565213</v>
      </c>
      <c r="AN184" s="54">
        <v>45386.371249999997</v>
      </c>
      <c r="AO184" s="54">
        <v>74800.399999999994</v>
      </c>
      <c r="AP184" s="54">
        <v>169225.22222222222</v>
      </c>
      <c r="AQ184" s="54">
        <v>229109.72111111111</v>
      </c>
      <c r="AR184" s="54">
        <v>149874</v>
      </c>
      <c r="AS184" s="54">
        <v>46890.400000000001</v>
      </c>
      <c r="AT184" s="54">
        <v>17989.142857142859</v>
      </c>
      <c r="AU184" s="54">
        <v>835167.6508695652</v>
      </c>
      <c r="AV184" s="54">
        <v>568741.83956521738</v>
      </c>
      <c r="AW184" s="54">
        <v>1403909.4904347826</v>
      </c>
      <c r="AX184" s="54">
        <v>11.945384615384617</v>
      </c>
      <c r="AY184" s="54">
        <v>9.08</v>
      </c>
      <c r="AZ184" s="54">
        <v>4.65625</v>
      </c>
      <c r="BA184" s="54" t="s">
        <v>342</v>
      </c>
      <c r="BB184" s="54" t="s">
        <v>347</v>
      </c>
    </row>
    <row r="185" spans="1:54" x14ac:dyDescent="0.25">
      <c r="A185" s="54">
        <v>406</v>
      </c>
      <c r="B185" s="54">
        <v>2009</v>
      </c>
      <c r="C185" s="88" t="s">
        <v>82</v>
      </c>
      <c r="D185" s="54" t="s">
        <v>83</v>
      </c>
      <c r="E185" s="54" t="s">
        <v>78</v>
      </c>
      <c r="F185" s="54" t="str">
        <f>_xlfn.CONCAT(Table13[[#This Row],[Geographic Scope]],": ",Table13[[#This Row],[Sub-Type/Focus]])</f>
        <v>State: Multiple Related Topics</v>
      </c>
      <c r="G185" s="54" t="str">
        <f>_xlfn.CONCAT(Table13[[#This Row],[Geographic Scope]],": ",Table13[[#This Row],[Sub-Type/Focus]],": ",Table13[[#This Row],[Content Type]])</f>
        <v>State: Multiple Related Topics: Current News &amp; Events</v>
      </c>
      <c r="H185" s="54" t="str">
        <f>_xlfn.CONCAT(Table13[[#This Row],[Geographic Scope]],": ",Table13[[#This Row],[Content Type]])</f>
        <v>State: Current News &amp; Events</v>
      </c>
      <c r="I185" s="55">
        <v>1233357.83</v>
      </c>
      <c r="J185" s="55">
        <v>739066.58499999996</v>
      </c>
      <c r="K185" s="55">
        <v>659054.99333333329</v>
      </c>
      <c r="L185" s="54">
        <v>336159.25142857141</v>
      </c>
      <c r="M185" s="54">
        <v>121919.34000000001</v>
      </c>
      <c r="N185" s="54">
        <v>393708.89187499997</v>
      </c>
      <c r="O185" s="54">
        <v>182334.329375</v>
      </c>
      <c r="P185" s="54">
        <v>50752.1875</v>
      </c>
      <c r="Q185" s="54">
        <v>160622.375</v>
      </c>
      <c r="R185" s="54">
        <v>56716.943749999999</v>
      </c>
      <c r="S185" s="54">
        <v>471950.66666666669</v>
      </c>
      <c r="T185" s="54">
        <v>315529.25</v>
      </c>
      <c r="U185" s="54">
        <v>50651.75</v>
      </c>
      <c r="V185" s="54">
        <v>5088</v>
      </c>
      <c r="W185" s="54">
        <v>40360.984000000004</v>
      </c>
      <c r="X185" s="54">
        <v>238135.77777777778</v>
      </c>
      <c r="Y185" s="54">
        <v>493891.46750000003</v>
      </c>
      <c r="Z185" s="54">
        <v>395528.54749999999</v>
      </c>
      <c r="AA185" s="54">
        <v>889420.01500000001</v>
      </c>
      <c r="AB185" s="54">
        <v>7.8999999999999995</v>
      </c>
      <c r="AC185" s="54">
        <v>5.9361111111111109</v>
      </c>
      <c r="AD185" s="54">
        <v>3.2136363636363638</v>
      </c>
      <c r="AE185" s="54">
        <v>1541170.3630434782</v>
      </c>
      <c r="AF185" s="54">
        <v>1346854.4286956524</v>
      </c>
      <c r="AG185" s="54">
        <v>279329.15562500001</v>
      </c>
      <c r="AH185" s="54">
        <v>633893.65956521744</v>
      </c>
      <c r="AI185" s="54">
        <v>237186.25</v>
      </c>
      <c r="AJ185" s="54">
        <v>655924.42260869569</v>
      </c>
      <c r="AK185" s="54">
        <v>237936.28086956521</v>
      </c>
      <c r="AL185" s="54">
        <v>52563.75304347826</v>
      </c>
      <c r="AM185" s="54">
        <v>365424.38869565213</v>
      </c>
      <c r="AN185" s="54">
        <v>45386.371249999997</v>
      </c>
      <c r="AO185" s="54">
        <v>74800.399999999994</v>
      </c>
      <c r="AP185" s="54">
        <v>169225.22222222222</v>
      </c>
      <c r="AQ185" s="54">
        <v>229109.72111111111</v>
      </c>
      <c r="AR185" s="54">
        <v>149874</v>
      </c>
      <c r="AS185" s="54">
        <v>46890.400000000001</v>
      </c>
      <c r="AT185" s="54">
        <v>17989.142857142859</v>
      </c>
      <c r="AU185" s="54">
        <v>835167.6508695652</v>
      </c>
      <c r="AV185" s="54">
        <v>568741.83956521738</v>
      </c>
      <c r="AW185" s="54">
        <v>1403909.4904347826</v>
      </c>
      <c r="AX185" s="54">
        <v>11.945384615384617</v>
      </c>
      <c r="AY185" s="54">
        <v>9.08</v>
      </c>
      <c r="AZ185" s="54">
        <v>4.65625</v>
      </c>
      <c r="BA185" s="54" t="s">
        <v>339</v>
      </c>
      <c r="BB185" s="54" t="s">
        <v>348</v>
      </c>
    </row>
    <row r="186" spans="1:54" x14ac:dyDescent="0.25">
      <c r="A186" s="54">
        <v>410</v>
      </c>
      <c r="B186" s="54">
        <v>2007</v>
      </c>
      <c r="C186" s="88" t="s">
        <v>82</v>
      </c>
      <c r="D186" s="54" t="s">
        <v>83</v>
      </c>
      <c r="E186" s="54" t="s">
        <v>78</v>
      </c>
      <c r="F186" s="54" t="str">
        <f>_xlfn.CONCAT(Table13[[#This Row],[Geographic Scope]],": ",Table13[[#This Row],[Sub-Type/Focus]])</f>
        <v>State: Multiple Related Topics</v>
      </c>
      <c r="G186" s="54" t="str">
        <f>_xlfn.CONCAT(Table13[[#This Row],[Geographic Scope]],": ",Table13[[#This Row],[Sub-Type/Focus]],": ",Table13[[#This Row],[Content Type]])</f>
        <v>State: Multiple Related Topics: Current News &amp; Events</v>
      </c>
      <c r="H186" s="54" t="str">
        <f>_xlfn.CONCAT(Table13[[#This Row],[Geographic Scope]],": ",Table13[[#This Row],[Content Type]])</f>
        <v>State: Current News &amp; Events</v>
      </c>
      <c r="I186" s="55">
        <v>1233357.83</v>
      </c>
      <c r="J186" s="55">
        <v>739066.58499999996</v>
      </c>
      <c r="K186" s="55">
        <v>659054.99333333329</v>
      </c>
      <c r="L186" s="54">
        <v>336159.25142857141</v>
      </c>
      <c r="M186" s="54">
        <v>121919.34000000001</v>
      </c>
      <c r="N186" s="54">
        <v>393708.89187499997</v>
      </c>
      <c r="O186" s="54">
        <v>182334.329375</v>
      </c>
      <c r="P186" s="54">
        <v>50752.1875</v>
      </c>
      <c r="Q186" s="54">
        <v>160622.375</v>
      </c>
      <c r="R186" s="54">
        <v>56716.943749999999</v>
      </c>
      <c r="S186" s="54">
        <v>471950.66666666669</v>
      </c>
      <c r="T186" s="54">
        <v>315529.25</v>
      </c>
      <c r="U186" s="54">
        <v>50651.75</v>
      </c>
      <c r="V186" s="54">
        <v>5088</v>
      </c>
      <c r="W186" s="54">
        <v>40360.984000000004</v>
      </c>
      <c r="X186" s="54">
        <v>238135.77777777778</v>
      </c>
      <c r="Y186" s="54">
        <v>493891.46750000003</v>
      </c>
      <c r="Z186" s="54">
        <v>395528.54749999999</v>
      </c>
      <c r="AA186" s="54">
        <v>889420.01500000001</v>
      </c>
      <c r="AB186" s="54">
        <v>7.8999999999999995</v>
      </c>
      <c r="AC186" s="54">
        <v>5.9361111111111109</v>
      </c>
      <c r="AD186" s="54">
        <v>3.2136363636363638</v>
      </c>
      <c r="AE186" s="54">
        <v>1541170.3630434782</v>
      </c>
      <c r="AF186" s="54">
        <v>1346854.4286956524</v>
      </c>
      <c r="AG186" s="54">
        <v>279329.15562500001</v>
      </c>
      <c r="AH186" s="54">
        <v>633893.65956521744</v>
      </c>
      <c r="AI186" s="54">
        <v>237186.25</v>
      </c>
      <c r="AJ186" s="54">
        <v>655924.42260869569</v>
      </c>
      <c r="AK186" s="54">
        <v>237936.28086956521</v>
      </c>
      <c r="AL186" s="54">
        <v>52563.75304347826</v>
      </c>
      <c r="AM186" s="54">
        <v>365424.38869565213</v>
      </c>
      <c r="AN186" s="54">
        <v>45386.371249999997</v>
      </c>
      <c r="AO186" s="54">
        <v>74800.399999999994</v>
      </c>
      <c r="AP186" s="54">
        <v>169225.22222222222</v>
      </c>
      <c r="AQ186" s="54">
        <v>229109.72111111111</v>
      </c>
      <c r="AR186" s="54">
        <v>149874</v>
      </c>
      <c r="AS186" s="54">
        <v>46890.400000000001</v>
      </c>
      <c r="AT186" s="54">
        <v>17989.142857142859</v>
      </c>
      <c r="AU186" s="54">
        <v>835167.6508695652</v>
      </c>
      <c r="AV186" s="54">
        <v>568741.83956521738</v>
      </c>
      <c r="AW186" s="54">
        <v>1403909.4904347826</v>
      </c>
      <c r="AX186" s="54">
        <v>11.945384615384617</v>
      </c>
      <c r="AY186" s="54">
        <v>9.08</v>
      </c>
      <c r="AZ186" s="54">
        <v>4.65625</v>
      </c>
      <c r="BA186" s="54" t="s">
        <v>342</v>
      </c>
    </row>
    <row r="187" spans="1:54" x14ac:dyDescent="0.25">
      <c r="A187" s="54">
        <v>412</v>
      </c>
      <c r="B187" s="54">
        <v>2016</v>
      </c>
      <c r="C187" s="88" t="s">
        <v>82</v>
      </c>
      <c r="D187" s="54" t="s">
        <v>83</v>
      </c>
      <c r="E187" s="54" t="s">
        <v>78</v>
      </c>
      <c r="F187" s="54" t="str">
        <f>_xlfn.CONCAT(Table13[[#This Row],[Geographic Scope]],": ",Table13[[#This Row],[Sub-Type/Focus]])</f>
        <v>State: Multiple Related Topics</v>
      </c>
      <c r="G187" s="54" t="str">
        <f>_xlfn.CONCAT(Table13[[#This Row],[Geographic Scope]],": ",Table13[[#This Row],[Sub-Type/Focus]],": ",Table13[[#This Row],[Content Type]])</f>
        <v>State: Multiple Related Topics: Current News &amp; Events</v>
      </c>
      <c r="H187" s="54" t="str">
        <f>_xlfn.CONCAT(Table13[[#This Row],[Geographic Scope]],": ",Table13[[#This Row],[Content Type]])</f>
        <v>State: Current News &amp; Events</v>
      </c>
      <c r="I187" s="55">
        <v>1233357.83</v>
      </c>
      <c r="J187" s="55">
        <v>739066.58499999996</v>
      </c>
      <c r="K187" s="55">
        <v>659054.99333333329</v>
      </c>
      <c r="L187" s="54">
        <v>336159.25142857141</v>
      </c>
      <c r="M187" s="54">
        <v>121919.34000000001</v>
      </c>
      <c r="N187" s="54">
        <v>393708.89187499997</v>
      </c>
      <c r="O187" s="54">
        <v>182334.329375</v>
      </c>
      <c r="P187" s="54">
        <v>50752.1875</v>
      </c>
      <c r="Q187" s="54">
        <v>160622.375</v>
      </c>
      <c r="R187" s="54">
        <v>56716.943749999999</v>
      </c>
      <c r="S187" s="54">
        <v>471950.66666666669</v>
      </c>
      <c r="T187" s="54">
        <v>315529.25</v>
      </c>
      <c r="U187" s="54">
        <v>50651.75</v>
      </c>
      <c r="V187" s="54">
        <v>5088</v>
      </c>
      <c r="W187" s="54">
        <v>40360.984000000004</v>
      </c>
      <c r="X187" s="54">
        <v>238135.77777777778</v>
      </c>
      <c r="Y187" s="54">
        <v>493891.46750000003</v>
      </c>
      <c r="Z187" s="54">
        <v>395528.54749999999</v>
      </c>
      <c r="AA187" s="54">
        <v>889420.01500000001</v>
      </c>
      <c r="AB187" s="54">
        <v>7.8999999999999995</v>
      </c>
      <c r="AC187" s="54">
        <v>5.9361111111111109</v>
      </c>
      <c r="AD187" s="54">
        <v>3.2136363636363638</v>
      </c>
      <c r="AE187" s="54">
        <v>1541170.3630434782</v>
      </c>
      <c r="AF187" s="54">
        <v>1346854.4286956524</v>
      </c>
      <c r="AG187" s="54">
        <v>279329.15562500001</v>
      </c>
      <c r="AH187" s="54">
        <v>633893.65956521744</v>
      </c>
      <c r="AI187" s="54">
        <v>237186.25</v>
      </c>
      <c r="AJ187" s="54">
        <v>655924.42260869569</v>
      </c>
      <c r="AK187" s="54">
        <v>237936.28086956521</v>
      </c>
      <c r="AL187" s="54">
        <v>52563.75304347826</v>
      </c>
      <c r="AM187" s="54">
        <v>365424.38869565213</v>
      </c>
      <c r="AN187" s="54">
        <v>45386.371249999997</v>
      </c>
      <c r="AO187" s="54">
        <v>74800.399999999994</v>
      </c>
      <c r="AP187" s="54">
        <v>169225.22222222222</v>
      </c>
      <c r="AQ187" s="54">
        <v>229109.72111111111</v>
      </c>
      <c r="AR187" s="54">
        <v>149874</v>
      </c>
      <c r="AS187" s="54">
        <v>46890.400000000001</v>
      </c>
      <c r="AT187" s="54">
        <v>17989.142857142859</v>
      </c>
      <c r="AU187" s="54">
        <v>835167.6508695652</v>
      </c>
      <c r="AV187" s="54">
        <v>568741.83956521738</v>
      </c>
      <c r="AW187" s="54">
        <v>1403909.4904347826</v>
      </c>
      <c r="AX187" s="54">
        <v>11.945384615384617</v>
      </c>
      <c r="AY187" s="54">
        <v>9.08</v>
      </c>
      <c r="AZ187" s="54">
        <v>4.65625</v>
      </c>
      <c r="BA187" s="54" t="s">
        <v>342</v>
      </c>
      <c r="BB187" s="54" t="s">
        <v>347</v>
      </c>
    </row>
    <row r="188" spans="1:54" x14ac:dyDescent="0.25">
      <c r="A188" s="54">
        <v>424</v>
      </c>
      <c r="B188" s="54">
        <v>2012</v>
      </c>
      <c r="C188" s="88" t="s">
        <v>82</v>
      </c>
      <c r="D188" s="54" t="s">
        <v>83</v>
      </c>
      <c r="E188" s="54" t="s">
        <v>78</v>
      </c>
      <c r="F188" s="54" t="str">
        <f>_xlfn.CONCAT(Table13[[#This Row],[Geographic Scope]],": ",Table13[[#This Row],[Sub-Type/Focus]])</f>
        <v>State: Multiple Related Topics</v>
      </c>
      <c r="G188" s="54" t="str">
        <f>_xlfn.CONCAT(Table13[[#This Row],[Geographic Scope]],": ",Table13[[#This Row],[Sub-Type/Focus]],": ",Table13[[#This Row],[Content Type]])</f>
        <v>State: Multiple Related Topics: Current News &amp; Events</v>
      </c>
      <c r="H188" s="54" t="str">
        <f>_xlfn.CONCAT(Table13[[#This Row],[Geographic Scope]],": ",Table13[[#This Row],[Content Type]])</f>
        <v>State: Current News &amp; Events</v>
      </c>
      <c r="I188" s="55">
        <v>1233357.83</v>
      </c>
      <c r="J188" s="55">
        <v>739066.58499999996</v>
      </c>
      <c r="K188" s="55">
        <v>659054.99333333329</v>
      </c>
      <c r="L188" s="54">
        <v>336159.25142857141</v>
      </c>
      <c r="M188" s="54">
        <v>121919.34000000001</v>
      </c>
      <c r="N188" s="54">
        <v>393708.89187499997</v>
      </c>
      <c r="O188" s="54">
        <v>182334.329375</v>
      </c>
      <c r="P188" s="54">
        <v>50752.1875</v>
      </c>
      <c r="Q188" s="54">
        <v>160622.375</v>
      </c>
      <c r="R188" s="54">
        <v>56716.943749999999</v>
      </c>
      <c r="S188" s="54">
        <v>471950.66666666669</v>
      </c>
      <c r="T188" s="54">
        <v>315529.25</v>
      </c>
      <c r="U188" s="54">
        <v>50651.75</v>
      </c>
      <c r="V188" s="54">
        <v>5088</v>
      </c>
      <c r="W188" s="54">
        <v>40360.984000000004</v>
      </c>
      <c r="X188" s="54">
        <v>238135.77777777778</v>
      </c>
      <c r="Y188" s="54">
        <v>493891.46750000003</v>
      </c>
      <c r="Z188" s="54">
        <v>395528.54749999999</v>
      </c>
      <c r="AA188" s="54">
        <v>889420.01500000001</v>
      </c>
      <c r="AB188" s="54">
        <v>7.8999999999999995</v>
      </c>
      <c r="AC188" s="54">
        <v>5.9361111111111109</v>
      </c>
      <c r="AD188" s="54">
        <v>3.2136363636363638</v>
      </c>
      <c r="AE188" s="54">
        <v>1541170.3630434782</v>
      </c>
      <c r="AF188" s="54">
        <v>1346854.4286956524</v>
      </c>
      <c r="AG188" s="54">
        <v>279329.15562500001</v>
      </c>
      <c r="AH188" s="54">
        <v>633893.65956521744</v>
      </c>
      <c r="AI188" s="54">
        <v>237186.25</v>
      </c>
      <c r="AJ188" s="54">
        <v>655924.42260869569</v>
      </c>
      <c r="AK188" s="54">
        <v>237936.28086956521</v>
      </c>
      <c r="AL188" s="54">
        <v>52563.75304347826</v>
      </c>
      <c r="AM188" s="54">
        <v>365424.38869565213</v>
      </c>
      <c r="AN188" s="54">
        <v>45386.371249999997</v>
      </c>
      <c r="AO188" s="54">
        <v>74800.399999999994</v>
      </c>
      <c r="AP188" s="54">
        <v>169225.22222222222</v>
      </c>
      <c r="AQ188" s="54">
        <v>229109.72111111111</v>
      </c>
      <c r="AR188" s="54">
        <v>149874</v>
      </c>
      <c r="AS188" s="54">
        <v>46890.400000000001</v>
      </c>
      <c r="AT188" s="54">
        <v>17989.142857142859</v>
      </c>
      <c r="AU188" s="54">
        <v>835167.6508695652</v>
      </c>
      <c r="AV188" s="54">
        <v>568741.83956521738</v>
      </c>
      <c r="AW188" s="54">
        <v>1403909.4904347826</v>
      </c>
      <c r="AX188" s="54">
        <v>11.945384615384617</v>
      </c>
      <c r="AY188" s="54">
        <v>9.08</v>
      </c>
      <c r="AZ188" s="54">
        <v>4.65625</v>
      </c>
      <c r="BA188" s="54" t="s">
        <v>339</v>
      </c>
      <c r="BB188" s="54" t="s">
        <v>348</v>
      </c>
    </row>
    <row r="189" spans="1:54" x14ac:dyDescent="0.25">
      <c r="A189" s="54">
        <v>441</v>
      </c>
      <c r="B189" s="54">
        <v>2010</v>
      </c>
      <c r="C189" s="88" t="s">
        <v>82</v>
      </c>
      <c r="D189" s="54" t="s">
        <v>83</v>
      </c>
      <c r="E189" s="54" t="s">
        <v>78</v>
      </c>
      <c r="F189" s="54" t="str">
        <f>_xlfn.CONCAT(Table13[[#This Row],[Geographic Scope]],": ",Table13[[#This Row],[Sub-Type/Focus]])</f>
        <v>State: Multiple Related Topics</v>
      </c>
      <c r="G189" s="54" t="str">
        <f>_xlfn.CONCAT(Table13[[#This Row],[Geographic Scope]],": ",Table13[[#This Row],[Sub-Type/Focus]],": ",Table13[[#This Row],[Content Type]])</f>
        <v>State: Multiple Related Topics: Current News &amp; Events</v>
      </c>
      <c r="H189" s="54" t="str">
        <f>_xlfn.CONCAT(Table13[[#This Row],[Geographic Scope]],": ",Table13[[#This Row],[Content Type]])</f>
        <v>State: Current News &amp; Events</v>
      </c>
      <c r="I189" s="55">
        <v>1233357.83</v>
      </c>
      <c r="J189" s="55">
        <v>739066.58499999996</v>
      </c>
      <c r="K189" s="55">
        <v>659054.99333333329</v>
      </c>
      <c r="L189" s="54">
        <v>336159.25142857141</v>
      </c>
      <c r="M189" s="54">
        <v>121919.34000000001</v>
      </c>
      <c r="N189" s="54">
        <v>393708.89187499997</v>
      </c>
      <c r="O189" s="54">
        <v>182334.329375</v>
      </c>
      <c r="P189" s="54">
        <v>50752.1875</v>
      </c>
      <c r="Q189" s="54">
        <v>160622.375</v>
      </c>
      <c r="R189" s="54">
        <v>56716.943749999999</v>
      </c>
      <c r="S189" s="54">
        <v>471950.66666666669</v>
      </c>
      <c r="T189" s="54">
        <v>315529.25</v>
      </c>
      <c r="U189" s="54">
        <v>50651.75</v>
      </c>
      <c r="V189" s="54">
        <v>5088</v>
      </c>
      <c r="W189" s="54">
        <v>40360.984000000004</v>
      </c>
      <c r="X189" s="54">
        <v>238135.77777777778</v>
      </c>
      <c r="Y189" s="54">
        <v>493891.46750000003</v>
      </c>
      <c r="Z189" s="54">
        <v>395528.54749999999</v>
      </c>
      <c r="AA189" s="54">
        <v>889420.01500000001</v>
      </c>
      <c r="AB189" s="54">
        <v>7.8999999999999995</v>
      </c>
      <c r="AC189" s="54">
        <v>5.9361111111111109</v>
      </c>
      <c r="AD189" s="54">
        <v>3.2136363636363638</v>
      </c>
      <c r="AE189" s="54">
        <v>1541170.3630434782</v>
      </c>
      <c r="AF189" s="54">
        <v>1346854.4286956524</v>
      </c>
      <c r="AG189" s="54">
        <v>279329.15562500001</v>
      </c>
      <c r="AH189" s="54">
        <v>633893.65956521744</v>
      </c>
      <c r="AI189" s="54">
        <v>237186.25</v>
      </c>
      <c r="AJ189" s="54">
        <v>655924.42260869569</v>
      </c>
      <c r="AK189" s="54">
        <v>237936.28086956521</v>
      </c>
      <c r="AL189" s="54">
        <v>52563.75304347826</v>
      </c>
      <c r="AM189" s="54">
        <v>365424.38869565213</v>
      </c>
      <c r="AN189" s="54">
        <v>45386.371249999997</v>
      </c>
      <c r="AO189" s="54">
        <v>74800.399999999994</v>
      </c>
      <c r="AP189" s="54">
        <v>169225.22222222222</v>
      </c>
      <c r="AQ189" s="54">
        <v>229109.72111111111</v>
      </c>
      <c r="AR189" s="54">
        <v>149874</v>
      </c>
      <c r="AS189" s="54">
        <v>46890.400000000001</v>
      </c>
      <c r="AT189" s="54">
        <v>17989.142857142859</v>
      </c>
      <c r="AU189" s="54">
        <v>835167.6508695652</v>
      </c>
      <c r="AV189" s="54">
        <v>568741.83956521738</v>
      </c>
      <c r="AW189" s="54">
        <v>1403909.4904347826</v>
      </c>
      <c r="AX189" s="54">
        <v>11.945384615384617</v>
      </c>
      <c r="AY189" s="54">
        <v>9.08</v>
      </c>
      <c r="AZ189" s="54">
        <v>4.65625</v>
      </c>
      <c r="BA189" s="54" t="s">
        <v>343</v>
      </c>
      <c r="BB189" s="54" t="s">
        <v>362</v>
      </c>
    </row>
    <row r="190" spans="1:54" x14ac:dyDescent="0.25">
      <c r="A190" s="54">
        <v>2914</v>
      </c>
      <c r="B190" s="54">
        <v>2019</v>
      </c>
      <c r="C190" s="88" t="s">
        <v>82</v>
      </c>
      <c r="D190" s="54" t="s">
        <v>83</v>
      </c>
      <c r="E190" s="54" t="s">
        <v>78</v>
      </c>
      <c r="F190" s="54" t="str">
        <f>_xlfn.CONCAT(Table13[[#This Row],[Geographic Scope]],": ",Table13[[#This Row],[Sub-Type/Focus]])</f>
        <v>State: Multiple Related Topics</v>
      </c>
      <c r="G190" s="54" t="str">
        <f>_xlfn.CONCAT(Table13[[#This Row],[Geographic Scope]],": ",Table13[[#This Row],[Sub-Type/Focus]],": ",Table13[[#This Row],[Content Type]])</f>
        <v>State: Multiple Related Topics: Current News &amp; Events</v>
      </c>
      <c r="H190" s="54" t="str">
        <f>_xlfn.CONCAT(Table13[[#This Row],[Geographic Scope]],": ",Table13[[#This Row],[Content Type]])</f>
        <v>State: Current News &amp; Events</v>
      </c>
      <c r="I190" s="55">
        <v>1233357.83</v>
      </c>
      <c r="J190" s="55">
        <v>739066.58499999996</v>
      </c>
      <c r="K190" s="55">
        <v>659054.99333333329</v>
      </c>
      <c r="L190" s="54">
        <v>336159.25142857141</v>
      </c>
      <c r="M190" s="54">
        <v>121919.34000000001</v>
      </c>
      <c r="N190" s="54">
        <v>393708.89187499997</v>
      </c>
      <c r="O190" s="54">
        <v>182334.329375</v>
      </c>
      <c r="P190" s="54">
        <v>50752.1875</v>
      </c>
      <c r="Q190" s="54">
        <v>160622.375</v>
      </c>
      <c r="R190" s="54">
        <v>56716.943749999999</v>
      </c>
      <c r="S190" s="54">
        <v>471950.66666666669</v>
      </c>
      <c r="T190" s="54">
        <v>315529.25</v>
      </c>
      <c r="U190" s="54">
        <v>50651.75</v>
      </c>
      <c r="V190" s="54">
        <v>5088</v>
      </c>
      <c r="W190" s="54">
        <v>40360.984000000004</v>
      </c>
      <c r="X190" s="54">
        <v>238135.77777777778</v>
      </c>
      <c r="Y190" s="54">
        <v>493891.46750000003</v>
      </c>
      <c r="Z190" s="54">
        <v>395528.54749999999</v>
      </c>
      <c r="AA190" s="54">
        <v>889420.01500000001</v>
      </c>
      <c r="AB190" s="54">
        <v>7.8999999999999995</v>
      </c>
      <c r="AC190" s="54">
        <v>5.9361111111111109</v>
      </c>
      <c r="AD190" s="54">
        <v>3.2136363636363638</v>
      </c>
      <c r="AE190" s="54">
        <v>1541170.3630434782</v>
      </c>
      <c r="AF190" s="54">
        <v>1346854.4286956524</v>
      </c>
      <c r="AG190" s="54">
        <v>279329.15562500001</v>
      </c>
      <c r="AH190" s="54">
        <v>633893.65956521744</v>
      </c>
      <c r="AI190" s="54">
        <v>237186.25</v>
      </c>
      <c r="AJ190" s="54">
        <v>655924.42260869569</v>
      </c>
      <c r="AK190" s="54">
        <v>237936.28086956521</v>
      </c>
      <c r="AL190" s="54">
        <v>52563.75304347826</v>
      </c>
      <c r="AM190" s="54">
        <v>365424.38869565213</v>
      </c>
      <c r="AN190" s="54">
        <v>45386.371249999997</v>
      </c>
      <c r="AO190" s="54">
        <v>74800.399999999994</v>
      </c>
      <c r="AP190" s="54">
        <v>169225.22222222222</v>
      </c>
      <c r="AQ190" s="54">
        <v>229109.72111111111</v>
      </c>
      <c r="AR190" s="54">
        <v>149874</v>
      </c>
      <c r="AS190" s="54">
        <v>46890.400000000001</v>
      </c>
      <c r="AT190" s="54">
        <v>17989.142857142859</v>
      </c>
      <c r="AU190" s="54">
        <v>835167.6508695652</v>
      </c>
      <c r="AV190" s="54">
        <v>568741.83956521738</v>
      </c>
      <c r="AW190" s="54">
        <v>1403909.4904347826</v>
      </c>
      <c r="AX190" s="54">
        <v>11.945384615384617</v>
      </c>
      <c r="AY190" s="54">
        <v>9.08</v>
      </c>
      <c r="AZ190" s="54">
        <v>4.65625</v>
      </c>
      <c r="BA190" s="54" t="s">
        <v>339</v>
      </c>
      <c r="BB190" s="54" t="s">
        <v>348</v>
      </c>
    </row>
    <row r="191" spans="1:54" x14ac:dyDescent="0.25">
      <c r="A191" s="54">
        <v>6827</v>
      </c>
      <c r="B191" s="54">
        <v>2020</v>
      </c>
      <c r="C191" s="88" t="s">
        <v>82</v>
      </c>
      <c r="D191" s="54" t="s">
        <v>83</v>
      </c>
      <c r="E191" s="54" t="s">
        <v>78</v>
      </c>
      <c r="F191" s="54" t="str">
        <f>_xlfn.CONCAT(Table13[[#This Row],[Geographic Scope]],": ",Table13[[#This Row],[Sub-Type/Focus]])</f>
        <v>State: Multiple Related Topics</v>
      </c>
      <c r="G191" s="54" t="str">
        <f>_xlfn.CONCAT(Table13[[#This Row],[Geographic Scope]],": ",Table13[[#This Row],[Sub-Type/Focus]],": ",Table13[[#This Row],[Content Type]])</f>
        <v>State: Multiple Related Topics: Current News &amp; Events</v>
      </c>
      <c r="H191" s="54" t="str">
        <f>_xlfn.CONCAT(Table13[[#This Row],[Geographic Scope]],": ",Table13[[#This Row],[Content Type]])</f>
        <v>State: Current News &amp; Events</v>
      </c>
      <c r="I191" s="55">
        <v>1233357.83</v>
      </c>
      <c r="J191" s="55">
        <v>739066.58499999996</v>
      </c>
      <c r="K191" s="55">
        <v>659054.99333333329</v>
      </c>
      <c r="L191" s="54">
        <v>336159.25142857141</v>
      </c>
      <c r="M191" s="54">
        <v>121919.34000000001</v>
      </c>
      <c r="N191" s="54">
        <v>393708.89187499997</v>
      </c>
      <c r="O191" s="54">
        <v>182334.329375</v>
      </c>
      <c r="P191" s="54">
        <v>50752.1875</v>
      </c>
      <c r="Q191" s="54">
        <v>160622.375</v>
      </c>
      <c r="R191" s="54">
        <v>56716.943749999999</v>
      </c>
      <c r="S191" s="54">
        <v>471950.66666666669</v>
      </c>
      <c r="T191" s="54">
        <v>315529.25</v>
      </c>
      <c r="U191" s="54">
        <v>50651.75</v>
      </c>
      <c r="V191" s="54">
        <v>5088</v>
      </c>
      <c r="W191" s="54">
        <v>40360.984000000004</v>
      </c>
      <c r="X191" s="54">
        <v>238135.77777777778</v>
      </c>
      <c r="Y191" s="54">
        <v>493891.46750000003</v>
      </c>
      <c r="Z191" s="54">
        <v>395528.54749999999</v>
      </c>
      <c r="AA191" s="54">
        <v>889420.01500000001</v>
      </c>
      <c r="AB191" s="54">
        <v>7.8999999999999995</v>
      </c>
      <c r="AC191" s="54">
        <v>5.9361111111111109</v>
      </c>
      <c r="AD191" s="54">
        <v>3.2136363636363638</v>
      </c>
      <c r="AE191" s="54">
        <v>1541170.3630434782</v>
      </c>
      <c r="AF191" s="54">
        <v>1346854.4286956524</v>
      </c>
      <c r="AG191" s="54">
        <v>279329.15562500001</v>
      </c>
      <c r="AH191" s="54">
        <v>633893.65956521744</v>
      </c>
      <c r="AI191" s="54">
        <v>237186.25</v>
      </c>
      <c r="AJ191" s="54">
        <v>655924.42260869569</v>
      </c>
      <c r="AK191" s="54">
        <v>237936.28086956521</v>
      </c>
      <c r="AL191" s="54">
        <v>52563.75304347826</v>
      </c>
      <c r="AM191" s="54">
        <v>365424.38869565213</v>
      </c>
      <c r="AN191" s="54">
        <v>45386.371249999997</v>
      </c>
      <c r="AO191" s="54">
        <v>74800.399999999994</v>
      </c>
      <c r="AP191" s="54">
        <v>169225.22222222222</v>
      </c>
      <c r="AQ191" s="54">
        <v>229109.72111111111</v>
      </c>
      <c r="AR191" s="54">
        <v>149874</v>
      </c>
      <c r="AS191" s="54">
        <v>46890.400000000001</v>
      </c>
      <c r="AT191" s="54">
        <v>17989.142857142859</v>
      </c>
      <c r="AU191" s="54">
        <v>835167.6508695652</v>
      </c>
      <c r="AV191" s="54">
        <v>568741.83956521738</v>
      </c>
      <c r="AW191" s="54">
        <v>1403909.4904347826</v>
      </c>
      <c r="AX191" s="54">
        <v>11.945384615384617</v>
      </c>
      <c r="AY191" s="54">
        <v>9.08</v>
      </c>
      <c r="AZ191" s="54">
        <v>4.65625</v>
      </c>
      <c r="BA191" s="54" t="s">
        <v>342</v>
      </c>
      <c r="BB191" s="54" t="s">
        <v>346</v>
      </c>
    </row>
    <row r="192" spans="1:54" x14ac:dyDescent="0.25">
      <c r="A192" s="54">
        <v>2497</v>
      </c>
      <c r="B192" s="54">
        <v>2019</v>
      </c>
      <c r="C192" s="88" t="s">
        <v>82</v>
      </c>
      <c r="D192" s="54" t="s">
        <v>83</v>
      </c>
      <c r="E192" s="54" t="s">
        <v>79</v>
      </c>
      <c r="F192" s="54" t="str">
        <f>_xlfn.CONCAT(Table13[[#This Row],[Geographic Scope]],": ",Table13[[#This Row],[Sub-Type/Focus]])</f>
        <v>State: Single-Topic</v>
      </c>
      <c r="G192" s="54" t="str">
        <f>_xlfn.CONCAT(Table13[[#This Row],[Geographic Scope]],": ",Table13[[#This Row],[Sub-Type/Focus]],": ",Table13[[#This Row],[Content Type]])</f>
        <v>State: Single-Topic: Current News &amp; Events</v>
      </c>
      <c r="H192" s="54" t="str">
        <f>_xlfn.CONCAT(Table13[[#This Row],[Geographic Scope]],": ",Table13[[#This Row],[Content Type]])</f>
        <v>State: Current News &amp; Events</v>
      </c>
      <c r="I192" s="55">
        <v>1233357.83</v>
      </c>
      <c r="J192" s="55">
        <v>739066.58499999996</v>
      </c>
      <c r="K192" s="55">
        <v>659054.99333333329</v>
      </c>
      <c r="L192" s="54">
        <v>336159.25142857141</v>
      </c>
      <c r="M192" s="54">
        <v>121919.34000000001</v>
      </c>
      <c r="N192" s="54">
        <v>393708.89187499997</v>
      </c>
      <c r="O192" s="54">
        <v>182334.329375</v>
      </c>
      <c r="P192" s="54">
        <v>50752.1875</v>
      </c>
      <c r="Q192" s="54">
        <v>160622.375</v>
      </c>
      <c r="R192" s="54">
        <v>56716.943749999999</v>
      </c>
      <c r="S192" s="54">
        <v>471950.66666666669</v>
      </c>
      <c r="T192" s="54">
        <v>315529.25</v>
      </c>
      <c r="U192" s="54">
        <v>50651.75</v>
      </c>
      <c r="V192" s="54">
        <v>5088</v>
      </c>
      <c r="W192" s="54">
        <v>40360.984000000004</v>
      </c>
      <c r="X192" s="54">
        <v>238135.77777777778</v>
      </c>
      <c r="Y192" s="54">
        <v>493891.46750000003</v>
      </c>
      <c r="Z192" s="54">
        <v>395528.54749999999</v>
      </c>
      <c r="AA192" s="54">
        <v>889420.01500000001</v>
      </c>
      <c r="AB192" s="54">
        <v>7.8999999999999995</v>
      </c>
      <c r="AC192" s="54">
        <v>5.9361111111111109</v>
      </c>
      <c r="AD192" s="54">
        <v>3.2136363636363638</v>
      </c>
      <c r="AE192" s="54">
        <v>836227.34249999991</v>
      </c>
      <c r="AF192" s="54">
        <v>812966.30999999994</v>
      </c>
      <c r="AG192" s="54">
        <v>37217.652000000002</v>
      </c>
      <c r="AH192" s="54">
        <v>766903.28571428568</v>
      </c>
      <c r="AI192" s="54">
        <v>2220</v>
      </c>
      <c r="AJ192" s="54">
        <v>141648.435</v>
      </c>
      <c r="AK192" s="54">
        <v>25520.3475</v>
      </c>
      <c r="AL192" s="54">
        <v>13590.5875</v>
      </c>
      <c r="AM192" s="54">
        <v>102537.5</v>
      </c>
      <c r="AN192" s="54">
        <v>0</v>
      </c>
      <c r="AO192" s="54">
        <v>550</v>
      </c>
      <c r="AP192" s="54">
        <v>22770</v>
      </c>
      <c r="AQ192" s="54">
        <v>0</v>
      </c>
      <c r="AR192" s="54">
        <v>0</v>
      </c>
      <c r="AS192" s="54">
        <v>18000</v>
      </c>
      <c r="AT192" s="54">
        <v>60724.13</v>
      </c>
      <c r="AU192" s="54">
        <v>566330.125</v>
      </c>
      <c r="AV192" s="54">
        <v>200559.5</v>
      </c>
      <c r="AW192" s="54">
        <v>766889.625</v>
      </c>
      <c r="AX192" s="54">
        <v>8.5142857142857142</v>
      </c>
      <c r="AY192" s="54">
        <v>5.4428571428571431</v>
      </c>
      <c r="AZ192" s="54">
        <v>7.166666666666667</v>
      </c>
      <c r="BA192" s="54" t="s">
        <v>343</v>
      </c>
      <c r="BB192" s="54" t="s">
        <v>375</v>
      </c>
    </row>
    <row r="193" spans="1:54" x14ac:dyDescent="0.25">
      <c r="A193" s="54">
        <v>340</v>
      </c>
      <c r="B193" s="54">
        <v>2011</v>
      </c>
      <c r="C193" s="88" t="s">
        <v>80</v>
      </c>
      <c r="D193" s="54" t="s">
        <v>83</v>
      </c>
      <c r="E193" s="54" t="s">
        <v>77</v>
      </c>
      <c r="F193" s="54" t="str">
        <f>_xlfn.CONCAT(Table13[[#This Row],[Geographic Scope]],": ",Table13[[#This Row],[Sub-Type/Focus]])</f>
        <v>State: General</v>
      </c>
      <c r="G193" s="54" t="str">
        <f>_xlfn.CONCAT(Table13[[#This Row],[Geographic Scope]],": ",Table13[[#This Row],[Sub-Type/Focus]],": ",Table13[[#This Row],[Content Type]])</f>
        <v>State: General: Explanatory &amp; Analysis</v>
      </c>
      <c r="H193" s="54" t="str">
        <f>_xlfn.CONCAT(Table13[[#This Row],[Geographic Scope]],": ",Table13[[#This Row],[Content Type]])</f>
        <v>State: Explanatory &amp; Analysis</v>
      </c>
      <c r="I193" s="55">
        <v>1500667.0289473685</v>
      </c>
      <c r="J193" s="55">
        <v>1386046.8673684211</v>
      </c>
      <c r="K193" s="55">
        <v>155555.93357142856</v>
      </c>
      <c r="L193" s="54">
        <v>672987.21052631584</v>
      </c>
      <c r="M193" s="54">
        <v>429193</v>
      </c>
      <c r="N193" s="54">
        <v>620242.7094736842</v>
      </c>
      <c r="O193" s="54">
        <v>248541.94631578945</v>
      </c>
      <c r="P193" s="54">
        <v>27252.394736842107</v>
      </c>
      <c r="Q193" s="54">
        <v>344448.36842105264</v>
      </c>
      <c r="R193" s="54">
        <v>23375</v>
      </c>
      <c r="S193" s="54">
        <v>64549</v>
      </c>
      <c r="T193" s="54">
        <v>104800.00444444445</v>
      </c>
      <c r="U193" s="54">
        <v>50562.128333333334</v>
      </c>
      <c r="V193" s="54">
        <v>0</v>
      </c>
      <c r="W193" s="54">
        <v>121522.75</v>
      </c>
      <c r="X193" s="54">
        <v>26703.322857142859</v>
      </c>
      <c r="Y193" s="54">
        <v>732092.87555555557</v>
      </c>
      <c r="Z193" s="54">
        <v>578740.71052631584</v>
      </c>
      <c r="AA193" s="54">
        <v>1272302.382105263</v>
      </c>
      <c r="AB193" s="54">
        <v>12.19888888888889</v>
      </c>
      <c r="AC193" s="54">
        <v>9.448888888888888</v>
      </c>
      <c r="AD193" s="54">
        <v>4.5</v>
      </c>
      <c r="AE193" s="54">
        <v>1430480.5480000002</v>
      </c>
      <c r="AF193" s="54">
        <v>766813.45039999997</v>
      </c>
      <c r="AG193" s="54">
        <v>975981.02588235307</v>
      </c>
      <c r="AH193" s="54">
        <v>336452.80375000002</v>
      </c>
      <c r="AI193" s="54">
        <v>408926.20400000003</v>
      </c>
      <c r="AJ193" s="54">
        <v>350007.61600000004</v>
      </c>
      <c r="AK193" s="54">
        <v>134596.64920000004</v>
      </c>
      <c r="AL193" s="54">
        <v>40407.599999999999</v>
      </c>
      <c r="AM193" s="54">
        <v>175003.36679999999</v>
      </c>
      <c r="AN193" s="54">
        <v>50107.924999999996</v>
      </c>
      <c r="AO193" s="54">
        <v>743481.6</v>
      </c>
      <c r="AP193" s="54">
        <v>289910.64</v>
      </c>
      <c r="AQ193" s="54">
        <v>86295.495999999999</v>
      </c>
      <c r="AR193" s="54">
        <v>602544</v>
      </c>
      <c r="AS193" s="54">
        <v>94092.274285714288</v>
      </c>
      <c r="AT193" s="54">
        <v>615836.75</v>
      </c>
      <c r="AU193" s="54">
        <v>694815.35583333333</v>
      </c>
      <c r="AV193" s="54">
        <v>394945.14399999997</v>
      </c>
      <c r="AW193" s="54">
        <v>1061967.8855999999</v>
      </c>
      <c r="AX193" s="54">
        <v>9.6148148148148156</v>
      </c>
      <c r="AY193" s="54">
        <v>7.3055555555555554</v>
      </c>
      <c r="AZ193" s="54">
        <v>3.6676470588235297</v>
      </c>
      <c r="BA193" s="54" t="s">
        <v>342</v>
      </c>
    </row>
    <row r="194" spans="1:54" x14ac:dyDescent="0.25">
      <c r="A194" s="54">
        <v>431</v>
      </c>
      <c r="B194" s="54">
        <v>2015</v>
      </c>
      <c r="C194" s="88" t="s">
        <v>80</v>
      </c>
      <c r="D194" s="54" t="s">
        <v>83</v>
      </c>
      <c r="E194" s="54" t="s">
        <v>77</v>
      </c>
      <c r="F194" s="54" t="str">
        <f>_xlfn.CONCAT(Table13[[#This Row],[Geographic Scope]],": ",Table13[[#This Row],[Sub-Type/Focus]])</f>
        <v>State: General</v>
      </c>
      <c r="G194" s="54" t="str">
        <f>_xlfn.CONCAT(Table13[[#This Row],[Geographic Scope]],": ",Table13[[#This Row],[Sub-Type/Focus]],": ",Table13[[#This Row],[Content Type]])</f>
        <v>State: General: Explanatory &amp; Analysis</v>
      </c>
      <c r="H194" s="54" t="str">
        <f>_xlfn.CONCAT(Table13[[#This Row],[Geographic Scope]],": ",Table13[[#This Row],[Content Type]])</f>
        <v>State: Explanatory &amp; Analysis</v>
      </c>
      <c r="I194" s="55">
        <v>1500667.0289473685</v>
      </c>
      <c r="J194" s="55">
        <v>1386046.8673684211</v>
      </c>
      <c r="K194" s="55">
        <v>155555.93357142856</v>
      </c>
      <c r="L194" s="54">
        <v>672987.21052631584</v>
      </c>
      <c r="M194" s="54">
        <v>429193</v>
      </c>
      <c r="N194" s="54">
        <v>620242.7094736842</v>
      </c>
      <c r="O194" s="54">
        <v>248541.94631578945</v>
      </c>
      <c r="P194" s="54">
        <v>27252.394736842107</v>
      </c>
      <c r="Q194" s="54">
        <v>344448.36842105264</v>
      </c>
      <c r="R194" s="54">
        <v>23375</v>
      </c>
      <c r="S194" s="54">
        <v>64549</v>
      </c>
      <c r="T194" s="54">
        <v>104800.00444444445</v>
      </c>
      <c r="U194" s="54">
        <v>50562.128333333334</v>
      </c>
      <c r="V194" s="54">
        <v>0</v>
      </c>
      <c r="W194" s="54">
        <v>121522.75</v>
      </c>
      <c r="X194" s="54">
        <v>26703.322857142859</v>
      </c>
      <c r="Y194" s="54">
        <v>732092.87555555557</v>
      </c>
      <c r="Z194" s="54">
        <v>578740.71052631584</v>
      </c>
      <c r="AA194" s="54">
        <v>1272302.382105263</v>
      </c>
      <c r="AB194" s="54">
        <v>12.19888888888889</v>
      </c>
      <c r="AC194" s="54">
        <v>9.448888888888888</v>
      </c>
      <c r="AD194" s="54">
        <v>4.5</v>
      </c>
      <c r="AE194" s="54">
        <v>1430480.5480000002</v>
      </c>
      <c r="AF194" s="54">
        <v>766813.45039999997</v>
      </c>
      <c r="AG194" s="54">
        <v>975981.02588235307</v>
      </c>
      <c r="AH194" s="54">
        <v>336452.80375000002</v>
      </c>
      <c r="AI194" s="54">
        <v>408926.20400000003</v>
      </c>
      <c r="AJ194" s="54">
        <v>350007.61600000004</v>
      </c>
      <c r="AK194" s="54">
        <v>134596.64920000004</v>
      </c>
      <c r="AL194" s="54">
        <v>40407.599999999999</v>
      </c>
      <c r="AM194" s="54">
        <v>175003.36679999999</v>
      </c>
      <c r="AN194" s="54">
        <v>50107.924999999996</v>
      </c>
      <c r="AO194" s="54">
        <v>743481.6</v>
      </c>
      <c r="AP194" s="54">
        <v>289910.64</v>
      </c>
      <c r="AQ194" s="54">
        <v>86295.495999999999</v>
      </c>
      <c r="AR194" s="54">
        <v>602544</v>
      </c>
      <c r="AS194" s="54">
        <v>94092.274285714288</v>
      </c>
      <c r="AT194" s="54">
        <v>615836.75</v>
      </c>
      <c r="AU194" s="54">
        <v>694815.35583333333</v>
      </c>
      <c r="AV194" s="54">
        <v>394945.14399999997</v>
      </c>
      <c r="AW194" s="54">
        <v>1061967.8855999999</v>
      </c>
      <c r="AX194" s="54">
        <v>9.6148148148148156</v>
      </c>
      <c r="AY194" s="54">
        <v>7.3055555555555554</v>
      </c>
      <c r="AZ194" s="54">
        <v>3.6676470588235297</v>
      </c>
      <c r="BA194" s="54" t="s">
        <v>339</v>
      </c>
      <c r="BB194" s="54" t="s">
        <v>348</v>
      </c>
    </row>
    <row r="195" spans="1:54" x14ac:dyDescent="0.25">
      <c r="A195" s="54">
        <v>461</v>
      </c>
      <c r="B195" s="54">
        <v>2018</v>
      </c>
      <c r="C195" s="88" t="s">
        <v>80</v>
      </c>
      <c r="D195" s="54" t="s">
        <v>83</v>
      </c>
      <c r="E195" s="54" t="s">
        <v>77</v>
      </c>
      <c r="F195" s="54" t="str">
        <f>_xlfn.CONCAT(Table13[[#This Row],[Geographic Scope]],": ",Table13[[#This Row],[Sub-Type/Focus]])</f>
        <v>State: General</v>
      </c>
      <c r="G195" s="54" t="str">
        <f>_xlfn.CONCAT(Table13[[#This Row],[Geographic Scope]],": ",Table13[[#This Row],[Sub-Type/Focus]],": ",Table13[[#This Row],[Content Type]])</f>
        <v>State: General: Explanatory &amp; Analysis</v>
      </c>
      <c r="H195" s="54" t="str">
        <f>_xlfn.CONCAT(Table13[[#This Row],[Geographic Scope]],": ",Table13[[#This Row],[Content Type]])</f>
        <v>State: Explanatory &amp; Analysis</v>
      </c>
      <c r="I195" s="55">
        <v>1500667.0289473685</v>
      </c>
      <c r="J195" s="55">
        <v>1386046.8673684211</v>
      </c>
      <c r="K195" s="55">
        <v>155555.93357142856</v>
      </c>
      <c r="L195" s="54">
        <v>672987.21052631584</v>
      </c>
      <c r="M195" s="54">
        <v>429193</v>
      </c>
      <c r="N195" s="54">
        <v>620242.7094736842</v>
      </c>
      <c r="O195" s="54">
        <v>248541.94631578945</v>
      </c>
      <c r="P195" s="54">
        <v>27252.394736842107</v>
      </c>
      <c r="Q195" s="54">
        <v>344448.36842105264</v>
      </c>
      <c r="R195" s="54">
        <v>23375</v>
      </c>
      <c r="S195" s="54">
        <v>64549</v>
      </c>
      <c r="T195" s="54">
        <v>104800.00444444445</v>
      </c>
      <c r="U195" s="54">
        <v>50562.128333333334</v>
      </c>
      <c r="V195" s="54">
        <v>0</v>
      </c>
      <c r="W195" s="54">
        <v>121522.75</v>
      </c>
      <c r="X195" s="54">
        <v>26703.322857142859</v>
      </c>
      <c r="Y195" s="54">
        <v>732092.87555555557</v>
      </c>
      <c r="Z195" s="54">
        <v>578740.71052631584</v>
      </c>
      <c r="AA195" s="54">
        <v>1272302.382105263</v>
      </c>
      <c r="AB195" s="54">
        <v>12.19888888888889</v>
      </c>
      <c r="AC195" s="54">
        <v>9.448888888888888</v>
      </c>
      <c r="AD195" s="54">
        <v>4.5</v>
      </c>
      <c r="AE195" s="54">
        <v>1430480.5480000002</v>
      </c>
      <c r="AF195" s="54">
        <v>766813.45039999997</v>
      </c>
      <c r="AG195" s="54">
        <v>975981.02588235307</v>
      </c>
      <c r="AH195" s="54">
        <v>336452.80375000002</v>
      </c>
      <c r="AI195" s="54">
        <v>408926.20400000003</v>
      </c>
      <c r="AJ195" s="54">
        <v>350007.61600000004</v>
      </c>
      <c r="AK195" s="54">
        <v>134596.64920000004</v>
      </c>
      <c r="AL195" s="54">
        <v>40407.599999999999</v>
      </c>
      <c r="AM195" s="54">
        <v>175003.36679999999</v>
      </c>
      <c r="AN195" s="54">
        <v>50107.924999999996</v>
      </c>
      <c r="AO195" s="54">
        <v>743481.6</v>
      </c>
      <c r="AP195" s="54">
        <v>289910.64</v>
      </c>
      <c r="AQ195" s="54">
        <v>86295.495999999999</v>
      </c>
      <c r="AR195" s="54">
        <v>602544</v>
      </c>
      <c r="AS195" s="54">
        <v>94092.274285714288</v>
      </c>
      <c r="AT195" s="54">
        <v>615836.75</v>
      </c>
      <c r="AU195" s="54">
        <v>694815.35583333333</v>
      </c>
      <c r="AV195" s="54">
        <v>394945.14399999997</v>
      </c>
      <c r="AW195" s="54">
        <v>1061967.8855999999</v>
      </c>
      <c r="AX195" s="54">
        <v>9.6148148148148156</v>
      </c>
      <c r="AY195" s="54">
        <v>7.3055555555555554</v>
      </c>
      <c r="AZ195" s="54">
        <v>3.6676470588235297</v>
      </c>
      <c r="BA195" s="54" t="s">
        <v>343</v>
      </c>
      <c r="BB195" s="54" t="s">
        <v>375</v>
      </c>
    </row>
    <row r="196" spans="1:54" x14ac:dyDescent="0.25">
      <c r="A196" s="54">
        <v>485</v>
      </c>
      <c r="B196" s="54">
        <v>2009</v>
      </c>
      <c r="C196" s="88" t="s">
        <v>80</v>
      </c>
      <c r="D196" s="54" t="s">
        <v>83</v>
      </c>
      <c r="E196" s="54" t="s">
        <v>77</v>
      </c>
      <c r="F196" s="54" t="str">
        <f>_xlfn.CONCAT(Table13[[#This Row],[Geographic Scope]],": ",Table13[[#This Row],[Sub-Type/Focus]])</f>
        <v>State: General</v>
      </c>
      <c r="G196" s="54" t="str">
        <f>_xlfn.CONCAT(Table13[[#This Row],[Geographic Scope]],": ",Table13[[#This Row],[Sub-Type/Focus]],": ",Table13[[#This Row],[Content Type]])</f>
        <v>State: General: Explanatory &amp; Analysis</v>
      </c>
      <c r="H196" s="54" t="str">
        <f>_xlfn.CONCAT(Table13[[#This Row],[Geographic Scope]],": ",Table13[[#This Row],[Content Type]])</f>
        <v>State: Explanatory &amp; Analysis</v>
      </c>
      <c r="I196" s="55">
        <v>1500667.0289473685</v>
      </c>
      <c r="J196" s="55">
        <v>1386046.8673684211</v>
      </c>
      <c r="K196" s="55">
        <v>155555.93357142856</v>
      </c>
      <c r="L196" s="54">
        <v>672987.21052631584</v>
      </c>
      <c r="M196" s="54">
        <v>429193</v>
      </c>
      <c r="N196" s="54">
        <v>620242.7094736842</v>
      </c>
      <c r="O196" s="54">
        <v>248541.94631578945</v>
      </c>
      <c r="P196" s="54">
        <v>27252.394736842107</v>
      </c>
      <c r="Q196" s="54">
        <v>344448.36842105264</v>
      </c>
      <c r="R196" s="54">
        <v>23375</v>
      </c>
      <c r="S196" s="54">
        <v>64549</v>
      </c>
      <c r="T196" s="54">
        <v>104800.00444444445</v>
      </c>
      <c r="U196" s="54">
        <v>50562.128333333334</v>
      </c>
      <c r="V196" s="54">
        <v>0</v>
      </c>
      <c r="W196" s="54">
        <v>121522.75</v>
      </c>
      <c r="X196" s="54">
        <v>26703.322857142859</v>
      </c>
      <c r="Y196" s="54">
        <v>732092.87555555557</v>
      </c>
      <c r="Z196" s="54">
        <v>578740.71052631584</v>
      </c>
      <c r="AA196" s="54">
        <v>1272302.382105263</v>
      </c>
      <c r="AB196" s="54">
        <v>12.19888888888889</v>
      </c>
      <c r="AC196" s="54">
        <v>9.448888888888888</v>
      </c>
      <c r="AD196" s="54">
        <v>4.5</v>
      </c>
      <c r="AE196" s="54">
        <v>1430480.5480000002</v>
      </c>
      <c r="AF196" s="54">
        <v>766813.45039999997</v>
      </c>
      <c r="AG196" s="54">
        <v>975981.02588235307</v>
      </c>
      <c r="AH196" s="54">
        <v>336452.80375000002</v>
      </c>
      <c r="AI196" s="54">
        <v>408926.20400000003</v>
      </c>
      <c r="AJ196" s="54">
        <v>350007.61600000004</v>
      </c>
      <c r="AK196" s="54">
        <v>134596.64920000004</v>
      </c>
      <c r="AL196" s="54">
        <v>40407.599999999999</v>
      </c>
      <c r="AM196" s="54">
        <v>175003.36679999999</v>
      </c>
      <c r="AN196" s="54">
        <v>50107.924999999996</v>
      </c>
      <c r="AO196" s="54">
        <v>743481.6</v>
      </c>
      <c r="AP196" s="54">
        <v>289910.64</v>
      </c>
      <c r="AQ196" s="54">
        <v>86295.495999999999</v>
      </c>
      <c r="AR196" s="54">
        <v>602544</v>
      </c>
      <c r="AS196" s="54">
        <v>94092.274285714288</v>
      </c>
      <c r="AT196" s="54">
        <v>615836.75</v>
      </c>
      <c r="AU196" s="54">
        <v>694815.35583333333</v>
      </c>
      <c r="AV196" s="54">
        <v>394945.14399999997</v>
      </c>
      <c r="AW196" s="54">
        <v>1061967.8855999999</v>
      </c>
      <c r="AX196" s="54">
        <v>9.6148148148148156</v>
      </c>
      <c r="AY196" s="54">
        <v>7.3055555555555554</v>
      </c>
      <c r="AZ196" s="54">
        <v>3.6676470588235297</v>
      </c>
      <c r="BA196" s="54" t="s">
        <v>343</v>
      </c>
      <c r="BB196" s="54" t="s">
        <v>387</v>
      </c>
    </row>
    <row r="197" spans="1:54" x14ac:dyDescent="0.25">
      <c r="A197" s="54">
        <v>505</v>
      </c>
      <c r="B197" s="54">
        <v>2010</v>
      </c>
      <c r="C197" s="88" t="s">
        <v>80</v>
      </c>
      <c r="D197" s="54" t="s">
        <v>83</v>
      </c>
      <c r="E197" s="54" t="s">
        <v>77</v>
      </c>
      <c r="F197" s="54" t="str">
        <f>_xlfn.CONCAT(Table13[[#This Row],[Geographic Scope]],": ",Table13[[#This Row],[Sub-Type/Focus]])</f>
        <v>State: General</v>
      </c>
      <c r="G197" s="54" t="str">
        <f>_xlfn.CONCAT(Table13[[#This Row],[Geographic Scope]],": ",Table13[[#This Row],[Sub-Type/Focus]],": ",Table13[[#This Row],[Content Type]])</f>
        <v>State: General: Explanatory &amp; Analysis</v>
      </c>
      <c r="H197" s="54" t="str">
        <f>_xlfn.CONCAT(Table13[[#This Row],[Geographic Scope]],": ",Table13[[#This Row],[Content Type]])</f>
        <v>State: Explanatory &amp; Analysis</v>
      </c>
      <c r="I197" s="55">
        <v>1500667.0289473685</v>
      </c>
      <c r="J197" s="55">
        <v>1386046.8673684211</v>
      </c>
      <c r="K197" s="55">
        <v>155555.93357142856</v>
      </c>
      <c r="L197" s="54">
        <v>672987.21052631584</v>
      </c>
      <c r="M197" s="54">
        <v>429193</v>
      </c>
      <c r="N197" s="54">
        <v>620242.7094736842</v>
      </c>
      <c r="O197" s="54">
        <v>248541.94631578945</v>
      </c>
      <c r="P197" s="54">
        <v>27252.394736842107</v>
      </c>
      <c r="Q197" s="54">
        <v>344448.36842105264</v>
      </c>
      <c r="R197" s="54">
        <v>23375</v>
      </c>
      <c r="S197" s="54">
        <v>64549</v>
      </c>
      <c r="T197" s="54">
        <v>104800.00444444445</v>
      </c>
      <c r="U197" s="54">
        <v>50562.128333333334</v>
      </c>
      <c r="V197" s="54">
        <v>0</v>
      </c>
      <c r="W197" s="54">
        <v>121522.75</v>
      </c>
      <c r="X197" s="54">
        <v>26703.322857142859</v>
      </c>
      <c r="Y197" s="54">
        <v>732092.87555555557</v>
      </c>
      <c r="Z197" s="54">
        <v>578740.71052631584</v>
      </c>
      <c r="AA197" s="54">
        <v>1272302.382105263</v>
      </c>
      <c r="AB197" s="54">
        <v>12.19888888888889</v>
      </c>
      <c r="AC197" s="54">
        <v>9.448888888888888</v>
      </c>
      <c r="AD197" s="54">
        <v>4.5</v>
      </c>
      <c r="AE197" s="54">
        <v>1430480.5480000002</v>
      </c>
      <c r="AF197" s="54">
        <v>766813.45039999997</v>
      </c>
      <c r="AG197" s="54">
        <v>975981.02588235307</v>
      </c>
      <c r="AH197" s="54">
        <v>336452.80375000002</v>
      </c>
      <c r="AI197" s="54">
        <v>408926.20400000003</v>
      </c>
      <c r="AJ197" s="54">
        <v>350007.61600000004</v>
      </c>
      <c r="AK197" s="54">
        <v>134596.64920000004</v>
      </c>
      <c r="AL197" s="54">
        <v>40407.599999999999</v>
      </c>
      <c r="AM197" s="54">
        <v>175003.36679999999</v>
      </c>
      <c r="AN197" s="54">
        <v>50107.924999999996</v>
      </c>
      <c r="AO197" s="54">
        <v>743481.6</v>
      </c>
      <c r="AP197" s="54">
        <v>289910.64</v>
      </c>
      <c r="AQ197" s="54">
        <v>86295.495999999999</v>
      </c>
      <c r="AR197" s="54">
        <v>602544</v>
      </c>
      <c r="AS197" s="54">
        <v>94092.274285714288</v>
      </c>
      <c r="AT197" s="54">
        <v>615836.75</v>
      </c>
      <c r="AU197" s="54">
        <v>694815.35583333333</v>
      </c>
      <c r="AV197" s="54">
        <v>394945.14399999997</v>
      </c>
      <c r="AW197" s="54">
        <v>1061967.8855999999</v>
      </c>
      <c r="AX197" s="54">
        <v>9.6148148148148156</v>
      </c>
      <c r="AY197" s="54">
        <v>7.3055555555555554</v>
      </c>
      <c r="AZ197" s="54">
        <v>3.6676470588235297</v>
      </c>
      <c r="BA197" s="54" t="s">
        <v>342</v>
      </c>
      <c r="BB197" s="54" t="s">
        <v>347</v>
      </c>
    </row>
    <row r="198" spans="1:54" x14ac:dyDescent="0.25">
      <c r="A198" s="54">
        <v>2546</v>
      </c>
      <c r="B198" s="54">
        <v>2015</v>
      </c>
      <c r="C198" s="88" t="s">
        <v>80</v>
      </c>
      <c r="D198" s="54" t="s">
        <v>83</v>
      </c>
      <c r="E198" s="54" t="s">
        <v>77</v>
      </c>
      <c r="F198" s="54" t="str">
        <f>_xlfn.CONCAT(Table13[[#This Row],[Geographic Scope]],": ",Table13[[#This Row],[Sub-Type/Focus]])</f>
        <v>State: General</v>
      </c>
      <c r="G198" s="54" t="str">
        <f>_xlfn.CONCAT(Table13[[#This Row],[Geographic Scope]],": ",Table13[[#This Row],[Sub-Type/Focus]],": ",Table13[[#This Row],[Content Type]])</f>
        <v>State: General: Explanatory &amp; Analysis</v>
      </c>
      <c r="H198" s="54" t="str">
        <f>_xlfn.CONCAT(Table13[[#This Row],[Geographic Scope]],": ",Table13[[#This Row],[Content Type]])</f>
        <v>State: Explanatory &amp; Analysis</v>
      </c>
      <c r="I198" s="55">
        <v>1500667.0289473685</v>
      </c>
      <c r="J198" s="55">
        <v>1386046.8673684211</v>
      </c>
      <c r="K198" s="55">
        <v>155555.93357142856</v>
      </c>
      <c r="L198" s="54">
        <v>672987.21052631584</v>
      </c>
      <c r="M198" s="54">
        <v>429193</v>
      </c>
      <c r="N198" s="54">
        <v>620242.7094736842</v>
      </c>
      <c r="O198" s="54">
        <v>248541.94631578945</v>
      </c>
      <c r="P198" s="54">
        <v>27252.394736842107</v>
      </c>
      <c r="Q198" s="54">
        <v>344448.36842105264</v>
      </c>
      <c r="R198" s="54">
        <v>23375</v>
      </c>
      <c r="S198" s="54">
        <v>64549</v>
      </c>
      <c r="T198" s="54">
        <v>104800.00444444445</v>
      </c>
      <c r="U198" s="54">
        <v>50562.128333333334</v>
      </c>
      <c r="V198" s="54">
        <v>0</v>
      </c>
      <c r="W198" s="54">
        <v>121522.75</v>
      </c>
      <c r="X198" s="54">
        <v>26703.322857142859</v>
      </c>
      <c r="Y198" s="54">
        <v>732092.87555555557</v>
      </c>
      <c r="Z198" s="54">
        <v>578740.71052631584</v>
      </c>
      <c r="AA198" s="54">
        <v>1272302.382105263</v>
      </c>
      <c r="AB198" s="54">
        <v>12.19888888888889</v>
      </c>
      <c r="AC198" s="54">
        <v>9.448888888888888</v>
      </c>
      <c r="AD198" s="54">
        <v>4.5</v>
      </c>
      <c r="AE198" s="54">
        <v>1430480.5480000002</v>
      </c>
      <c r="AF198" s="54">
        <v>766813.45039999997</v>
      </c>
      <c r="AG198" s="54">
        <v>975981.02588235307</v>
      </c>
      <c r="AH198" s="54">
        <v>336452.80375000002</v>
      </c>
      <c r="AI198" s="54">
        <v>408926.20400000003</v>
      </c>
      <c r="AJ198" s="54">
        <v>350007.61600000004</v>
      </c>
      <c r="AK198" s="54">
        <v>134596.64920000004</v>
      </c>
      <c r="AL198" s="54">
        <v>40407.599999999999</v>
      </c>
      <c r="AM198" s="54">
        <v>175003.36679999999</v>
      </c>
      <c r="AN198" s="54">
        <v>50107.924999999996</v>
      </c>
      <c r="AO198" s="54">
        <v>743481.6</v>
      </c>
      <c r="AP198" s="54">
        <v>289910.64</v>
      </c>
      <c r="AQ198" s="54">
        <v>86295.495999999999</v>
      </c>
      <c r="AR198" s="54">
        <v>602544</v>
      </c>
      <c r="AS198" s="54">
        <v>94092.274285714288</v>
      </c>
      <c r="AT198" s="54">
        <v>615836.75</v>
      </c>
      <c r="AU198" s="54">
        <v>694815.35583333333</v>
      </c>
      <c r="AV198" s="54">
        <v>394945.14399999997</v>
      </c>
      <c r="AW198" s="54">
        <v>1061967.8855999999</v>
      </c>
      <c r="AX198" s="54">
        <v>9.6148148148148156</v>
      </c>
      <c r="AY198" s="54">
        <v>7.3055555555555554</v>
      </c>
      <c r="AZ198" s="54">
        <v>3.6676470588235297</v>
      </c>
      <c r="BA198" s="54" t="s">
        <v>342</v>
      </c>
      <c r="BB198" s="54" t="s">
        <v>347</v>
      </c>
    </row>
    <row r="199" spans="1:54" x14ac:dyDescent="0.25">
      <c r="A199" s="54">
        <v>6798</v>
      </c>
      <c r="B199" s="54">
        <v>2018</v>
      </c>
      <c r="C199" s="88" t="s">
        <v>80</v>
      </c>
      <c r="D199" s="54" t="s">
        <v>83</v>
      </c>
      <c r="E199" s="54" t="s">
        <v>77</v>
      </c>
      <c r="F199" s="54" t="str">
        <f>_xlfn.CONCAT(Table13[[#This Row],[Geographic Scope]],": ",Table13[[#This Row],[Sub-Type/Focus]])</f>
        <v>State: General</v>
      </c>
      <c r="G199" s="54" t="str">
        <f>_xlfn.CONCAT(Table13[[#This Row],[Geographic Scope]],": ",Table13[[#This Row],[Sub-Type/Focus]],": ",Table13[[#This Row],[Content Type]])</f>
        <v>State: General: Explanatory &amp; Analysis</v>
      </c>
      <c r="H199" s="54" t="str">
        <f>_xlfn.CONCAT(Table13[[#This Row],[Geographic Scope]],": ",Table13[[#This Row],[Content Type]])</f>
        <v>State: Explanatory &amp; Analysis</v>
      </c>
      <c r="I199" s="55">
        <v>1500667.0289473685</v>
      </c>
      <c r="J199" s="55">
        <v>1386046.8673684211</v>
      </c>
      <c r="K199" s="55">
        <v>155555.93357142856</v>
      </c>
      <c r="L199" s="54">
        <v>672987.21052631584</v>
      </c>
      <c r="M199" s="54">
        <v>429193</v>
      </c>
      <c r="N199" s="54">
        <v>620242.7094736842</v>
      </c>
      <c r="O199" s="54">
        <v>248541.94631578945</v>
      </c>
      <c r="P199" s="54">
        <v>27252.394736842107</v>
      </c>
      <c r="Q199" s="54">
        <v>344448.36842105264</v>
      </c>
      <c r="R199" s="54">
        <v>23375</v>
      </c>
      <c r="S199" s="54">
        <v>64549</v>
      </c>
      <c r="T199" s="54">
        <v>104800.00444444445</v>
      </c>
      <c r="U199" s="54">
        <v>50562.128333333334</v>
      </c>
      <c r="V199" s="54">
        <v>0</v>
      </c>
      <c r="W199" s="54">
        <v>121522.75</v>
      </c>
      <c r="X199" s="54">
        <v>26703.322857142859</v>
      </c>
      <c r="Y199" s="54">
        <v>732092.87555555557</v>
      </c>
      <c r="Z199" s="54">
        <v>578740.71052631584</v>
      </c>
      <c r="AA199" s="54">
        <v>1272302.382105263</v>
      </c>
      <c r="AB199" s="54">
        <v>12.19888888888889</v>
      </c>
      <c r="AC199" s="54">
        <v>9.448888888888888</v>
      </c>
      <c r="AD199" s="54">
        <v>4.5</v>
      </c>
      <c r="AE199" s="54">
        <v>1430480.5480000002</v>
      </c>
      <c r="AF199" s="54">
        <v>766813.45039999997</v>
      </c>
      <c r="AG199" s="54">
        <v>975981.02588235307</v>
      </c>
      <c r="AH199" s="54">
        <v>336452.80375000002</v>
      </c>
      <c r="AI199" s="54">
        <v>408926.20400000003</v>
      </c>
      <c r="AJ199" s="54">
        <v>350007.61600000004</v>
      </c>
      <c r="AK199" s="54">
        <v>134596.64920000004</v>
      </c>
      <c r="AL199" s="54">
        <v>40407.599999999999</v>
      </c>
      <c r="AM199" s="54">
        <v>175003.36679999999</v>
      </c>
      <c r="AN199" s="54">
        <v>50107.924999999996</v>
      </c>
      <c r="AO199" s="54">
        <v>743481.6</v>
      </c>
      <c r="AP199" s="54">
        <v>289910.64</v>
      </c>
      <c r="AQ199" s="54">
        <v>86295.495999999999</v>
      </c>
      <c r="AR199" s="54">
        <v>602544</v>
      </c>
      <c r="AS199" s="54">
        <v>94092.274285714288</v>
      </c>
      <c r="AT199" s="54">
        <v>615836.75</v>
      </c>
      <c r="AU199" s="54">
        <v>694815.35583333333</v>
      </c>
      <c r="AV199" s="54">
        <v>394945.14399999997</v>
      </c>
      <c r="AW199" s="54">
        <v>1061967.8855999999</v>
      </c>
      <c r="AX199" s="54">
        <v>9.6148148148148156</v>
      </c>
      <c r="AY199" s="54">
        <v>7.3055555555555554</v>
      </c>
      <c r="AZ199" s="54">
        <v>3.6676470588235297</v>
      </c>
      <c r="BA199" s="54" t="s">
        <v>339</v>
      </c>
      <c r="BB199" s="54" t="s">
        <v>340</v>
      </c>
    </row>
    <row r="200" spans="1:54" x14ac:dyDescent="0.25">
      <c r="A200" s="54">
        <v>6823</v>
      </c>
      <c r="B200" s="54">
        <v>2020</v>
      </c>
      <c r="C200" s="88" t="s">
        <v>80</v>
      </c>
      <c r="D200" s="54" t="s">
        <v>83</v>
      </c>
      <c r="E200" s="54" t="s">
        <v>77</v>
      </c>
      <c r="F200" s="54" t="str">
        <f>_xlfn.CONCAT(Table13[[#This Row],[Geographic Scope]],": ",Table13[[#This Row],[Sub-Type/Focus]])</f>
        <v>State: General</v>
      </c>
      <c r="G200" s="54" t="str">
        <f>_xlfn.CONCAT(Table13[[#This Row],[Geographic Scope]],": ",Table13[[#This Row],[Sub-Type/Focus]],": ",Table13[[#This Row],[Content Type]])</f>
        <v>State: General: Explanatory &amp; Analysis</v>
      </c>
      <c r="H200" s="54" t="str">
        <f>_xlfn.CONCAT(Table13[[#This Row],[Geographic Scope]],": ",Table13[[#This Row],[Content Type]])</f>
        <v>State: Explanatory &amp; Analysis</v>
      </c>
      <c r="I200" s="55">
        <v>1500667.0289473685</v>
      </c>
      <c r="J200" s="55">
        <v>1386046.8673684211</v>
      </c>
      <c r="K200" s="55">
        <v>155555.93357142856</v>
      </c>
      <c r="L200" s="54">
        <v>672987.21052631584</v>
      </c>
      <c r="M200" s="54">
        <v>429193</v>
      </c>
      <c r="N200" s="54">
        <v>620242.7094736842</v>
      </c>
      <c r="O200" s="54">
        <v>248541.94631578945</v>
      </c>
      <c r="P200" s="54">
        <v>27252.394736842107</v>
      </c>
      <c r="Q200" s="54">
        <v>344448.36842105264</v>
      </c>
      <c r="R200" s="54">
        <v>23375</v>
      </c>
      <c r="S200" s="54">
        <v>64549</v>
      </c>
      <c r="T200" s="54">
        <v>104800.00444444445</v>
      </c>
      <c r="U200" s="54">
        <v>50562.128333333334</v>
      </c>
      <c r="V200" s="54">
        <v>0</v>
      </c>
      <c r="W200" s="54">
        <v>121522.75</v>
      </c>
      <c r="X200" s="54">
        <v>26703.322857142859</v>
      </c>
      <c r="Y200" s="54">
        <v>732092.87555555557</v>
      </c>
      <c r="Z200" s="54">
        <v>578740.71052631584</v>
      </c>
      <c r="AA200" s="54">
        <v>1272302.382105263</v>
      </c>
      <c r="AB200" s="54">
        <v>12.19888888888889</v>
      </c>
      <c r="AC200" s="54">
        <v>9.448888888888888</v>
      </c>
      <c r="AD200" s="54">
        <v>4.5</v>
      </c>
      <c r="AE200" s="54">
        <v>1430480.5480000002</v>
      </c>
      <c r="AF200" s="54">
        <v>766813.45039999997</v>
      </c>
      <c r="AG200" s="54">
        <v>975981.02588235307</v>
      </c>
      <c r="AH200" s="54">
        <v>336452.80375000002</v>
      </c>
      <c r="AI200" s="54">
        <v>408926.20400000003</v>
      </c>
      <c r="AJ200" s="54">
        <v>350007.61600000004</v>
      </c>
      <c r="AK200" s="54">
        <v>134596.64920000004</v>
      </c>
      <c r="AL200" s="54">
        <v>40407.599999999999</v>
      </c>
      <c r="AM200" s="54">
        <v>175003.36679999999</v>
      </c>
      <c r="AN200" s="54">
        <v>50107.924999999996</v>
      </c>
      <c r="AO200" s="54">
        <v>743481.6</v>
      </c>
      <c r="AP200" s="54">
        <v>289910.64</v>
      </c>
      <c r="AQ200" s="54">
        <v>86295.495999999999</v>
      </c>
      <c r="AR200" s="54">
        <v>602544</v>
      </c>
      <c r="AS200" s="54">
        <v>94092.274285714288</v>
      </c>
      <c r="AT200" s="54">
        <v>615836.75</v>
      </c>
      <c r="AU200" s="54">
        <v>694815.35583333333</v>
      </c>
      <c r="AV200" s="54">
        <v>394945.14399999997</v>
      </c>
      <c r="AW200" s="54">
        <v>1061967.8855999999</v>
      </c>
      <c r="AX200" s="54">
        <v>9.6148148148148156</v>
      </c>
      <c r="AY200" s="54">
        <v>7.3055555555555554</v>
      </c>
      <c r="AZ200" s="54">
        <v>3.6676470588235297</v>
      </c>
      <c r="BA200" s="54" t="s">
        <v>343</v>
      </c>
      <c r="BB200" s="54" t="s">
        <v>388</v>
      </c>
    </row>
    <row r="201" spans="1:54" x14ac:dyDescent="0.25">
      <c r="A201" s="54">
        <v>342</v>
      </c>
      <c r="B201" s="54">
        <v>2015</v>
      </c>
      <c r="C201" s="88" t="s">
        <v>80</v>
      </c>
      <c r="D201" s="54" t="s">
        <v>83</v>
      </c>
      <c r="E201" s="54" t="s">
        <v>78</v>
      </c>
      <c r="F201" s="54" t="str">
        <f>_xlfn.CONCAT(Table13[[#This Row],[Geographic Scope]],": ",Table13[[#This Row],[Sub-Type/Focus]])</f>
        <v>State: Multiple Related Topics</v>
      </c>
      <c r="G201" s="54" t="str">
        <f>_xlfn.CONCAT(Table13[[#This Row],[Geographic Scope]],": ",Table13[[#This Row],[Sub-Type/Focus]],": ",Table13[[#This Row],[Content Type]])</f>
        <v>State: Multiple Related Topics: Explanatory &amp; Analysis</v>
      </c>
      <c r="H201" s="54" t="str">
        <f>_xlfn.CONCAT(Table13[[#This Row],[Geographic Scope]],": ",Table13[[#This Row],[Content Type]])</f>
        <v>State: Explanatory &amp; Analysis</v>
      </c>
      <c r="I201" s="55">
        <v>1500667.0289473685</v>
      </c>
      <c r="J201" s="55">
        <v>1386046.8673684211</v>
      </c>
      <c r="K201" s="55">
        <v>155555.93357142856</v>
      </c>
      <c r="L201" s="54">
        <v>672987.21052631584</v>
      </c>
      <c r="M201" s="54">
        <v>429193</v>
      </c>
      <c r="N201" s="54">
        <v>620242.7094736842</v>
      </c>
      <c r="O201" s="54">
        <v>248541.94631578945</v>
      </c>
      <c r="P201" s="54">
        <v>27252.394736842107</v>
      </c>
      <c r="Q201" s="54">
        <v>344448.36842105264</v>
      </c>
      <c r="R201" s="54">
        <v>23375</v>
      </c>
      <c r="S201" s="54">
        <v>64549</v>
      </c>
      <c r="T201" s="54">
        <v>104800.00444444445</v>
      </c>
      <c r="U201" s="54">
        <v>50562.128333333334</v>
      </c>
      <c r="V201" s="54">
        <v>0</v>
      </c>
      <c r="W201" s="54">
        <v>121522.75</v>
      </c>
      <c r="X201" s="54">
        <v>26703.322857142859</v>
      </c>
      <c r="Y201" s="54">
        <v>732092.87555555557</v>
      </c>
      <c r="Z201" s="54">
        <v>578740.71052631584</v>
      </c>
      <c r="AA201" s="54">
        <v>1272302.382105263</v>
      </c>
      <c r="AB201" s="54">
        <v>12.19888888888889</v>
      </c>
      <c r="AC201" s="54">
        <v>9.448888888888888</v>
      </c>
      <c r="AD201" s="54">
        <v>4.5</v>
      </c>
      <c r="AE201" s="54">
        <v>1541170.3630434782</v>
      </c>
      <c r="AF201" s="54">
        <v>1346854.4286956524</v>
      </c>
      <c r="AG201" s="54">
        <v>279329.15562500001</v>
      </c>
      <c r="AH201" s="54">
        <v>633893.65956521744</v>
      </c>
      <c r="AI201" s="54">
        <v>237186.25</v>
      </c>
      <c r="AJ201" s="54">
        <v>655924.42260869569</v>
      </c>
      <c r="AK201" s="54">
        <v>237936.28086956521</v>
      </c>
      <c r="AL201" s="54">
        <v>52563.75304347826</v>
      </c>
      <c r="AM201" s="54">
        <v>365424.38869565213</v>
      </c>
      <c r="AN201" s="54">
        <v>45386.371249999997</v>
      </c>
      <c r="AO201" s="54">
        <v>74800.399999999994</v>
      </c>
      <c r="AP201" s="54">
        <v>169225.22222222222</v>
      </c>
      <c r="AQ201" s="54">
        <v>229109.72111111111</v>
      </c>
      <c r="AR201" s="54">
        <v>149874</v>
      </c>
      <c r="AS201" s="54">
        <v>46890.400000000001</v>
      </c>
      <c r="AT201" s="54">
        <v>17989.142857142859</v>
      </c>
      <c r="AU201" s="54">
        <v>835167.6508695652</v>
      </c>
      <c r="AV201" s="54">
        <v>568741.83956521738</v>
      </c>
      <c r="AW201" s="54">
        <v>1403909.4904347826</v>
      </c>
      <c r="AX201" s="54">
        <v>11.945384615384617</v>
      </c>
      <c r="AY201" s="54">
        <v>9.08</v>
      </c>
      <c r="AZ201" s="54">
        <v>4.65625</v>
      </c>
      <c r="BA201" s="54" t="s">
        <v>343</v>
      </c>
      <c r="BB201" s="54" t="s">
        <v>349</v>
      </c>
    </row>
    <row r="202" spans="1:54" x14ac:dyDescent="0.25">
      <c r="A202" s="54">
        <v>353</v>
      </c>
      <c r="B202" s="54">
        <v>2009</v>
      </c>
      <c r="C202" s="88" t="s">
        <v>80</v>
      </c>
      <c r="D202" s="54" t="s">
        <v>83</v>
      </c>
      <c r="E202" s="54" t="s">
        <v>78</v>
      </c>
      <c r="F202" s="54" t="str">
        <f>_xlfn.CONCAT(Table13[[#This Row],[Geographic Scope]],": ",Table13[[#This Row],[Sub-Type/Focus]])</f>
        <v>State: Multiple Related Topics</v>
      </c>
      <c r="G202" s="54" t="str">
        <f>_xlfn.CONCAT(Table13[[#This Row],[Geographic Scope]],": ",Table13[[#This Row],[Sub-Type/Focus]],": ",Table13[[#This Row],[Content Type]])</f>
        <v>State: Multiple Related Topics: Explanatory &amp; Analysis</v>
      </c>
      <c r="H202" s="54" t="str">
        <f>_xlfn.CONCAT(Table13[[#This Row],[Geographic Scope]],": ",Table13[[#This Row],[Content Type]])</f>
        <v>State: Explanatory &amp; Analysis</v>
      </c>
      <c r="I202" s="55">
        <v>1500667.0289473685</v>
      </c>
      <c r="J202" s="55">
        <v>1386046.8673684211</v>
      </c>
      <c r="K202" s="55">
        <v>155555.93357142856</v>
      </c>
      <c r="L202" s="54">
        <v>672987.21052631584</v>
      </c>
      <c r="M202" s="54">
        <v>429193</v>
      </c>
      <c r="N202" s="54">
        <v>620242.7094736842</v>
      </c>
      <c r="O202" s="54">
        <v>248541.94631578945</v>
      </c>
      <c r="P202" s="54">
        <v>27252.394736842107</v>
      </c>
      <c r="Q202" s="54">
        <v>344448.36842105264</v>
      </c>
      <c r="R202" s="54">
        <v>23375</v>
      </c>
      <c r="S202" s="54">
        <v>64549</v>
      </c>
      <c r="T202" s="54">
        <v>104800.00444444445</v>
      </c>
      <c r="U202" s="54">
        <v>50562.128333333334</v>
      </c>
      <c r="V202" s="54">
        <v>0</v>
      </c>
      <c r="W202" s="54">
        <v>121522.75</v>
      </c>
      <c r="X202" s="54">
        <v>26703.322857142859</v>
      </c>
      <c r="Y202" s="54">
        <v>732092.87555555557</v>
      </c>
      <c r="Z202" s="54">
        <v>578740.71052631584</v>
      </c>
      <c r="AA202" s="54">
        <v>1272302.382105263</v>
      </c>
      <c r="AB202" s="54">
        <v>12.19888888888889</v>
      </c>
      <c r="AC202" s="54">
        <v>9.448888888888888</v>
      </c>
      <c r="AD202" s="54">
        <v>4.5</v>
      </c>
      <c r="AE202" s="54">
        <v>1541170.3630434782</v>
      </c>
      <c r="AF202" s="54">
        <v>1346854.4286956524</v>
      </c>
      <c r="AG202" s="54">
        <v>279329.15562500001</v>
      </c>
      <c r="AH202" s="54">
        <v>633893.65956521744</v>
      </c>
      <c r="AI202" s="54">
        <v>237186.25</v>
      </c>
      <c r="AJ202" s="54">
        <v>655924.42260869569</v>
      </c>
      <c r="AK202" s="54">
        <v>237936.28086956521</v>
      </c>
      <c r="AL202" s="54">
        <v>52563.75304347826</v>
      </c>
      <c r="AM202" s="54">
        <v>365424.38869565213</v>
      </c>
      <c r="AN202" s="54">
        <v>45386.371249999997</v>
      </c>
      <c r="AO202" s="54">
        <v>74800.399999999994</v>
      </c>
      <c r="AP202" s="54">
        <v>169225.22222222222</v>
      </c>
      <c r="AQ202" s="54">
        <v>229109.72111111111</v>
      </c>
      <c r="AR202" s="54">
        <v>149874</v>
      </c>
      <c r="AS202" s="54">
        <v>46890.400000000001</v>
      </c>
      <c r="AT202" s="54">
        <v>17989.142857142859</v>
      </c>
      <c r="AU202" s="54">
        <v>835167.6508695652</v>
      </c>
      <c r="AV202" s="54">
        <v>568741.83956521738</v>
      </c>
      <c r="AW202" s="54">
        <v>1403909.4904347826</v>
      </c>
      <c r="AX202" s="54">
        <v>11.945384615384617</v>
      </c>
      <c r="AY202" s="54">
        <v>9.08</v>
      </c>
      <c r="AZ202" s="54">
        <v>4.65625</v>
      </c>
      <c r="BA202" s="54" t="s">
        <v>342</v>
      </c>
    </row>
    <row r="203" spans="1:54" x14ac:dyDescent="0.25">
      <c r="A203" s="54">
        <v>383</v>
      </c>
      <c r="B203" s="54">
        <v>2010</v>
      </c>
      <c r="C203" s="88" t="s">
        <v>80</v>
      </c>
      <c r="D203" s="54" t="s">
        <v>83</v>
      </c>
      <c r="E203" s="54" t="s">
        <v>78</v>
      </c>
      <c r="F203" s="54" t="str">
        <f>_xlfn.CONCAT(Table13[[#This Row],[Geographic Scope]],": ",Table13[[#This Row],[Sub-Type/Focus]])</f>
        <v>State: Multiple Related Topics</v>
      </c>
      <c r="G203" s="54" t="str">
        <f>_xlfn.CONCAT(Table13[[#This Row],[Geographic Scope]],": ",Table13[[#This Row],[Sub-Type/Focus]],": ",Table13[[#This Row],[Content Type]])</f>
        <v>State: Multiple Related Topics: Explanatory &amp; Analysis</v>
      </c>
      <c r="H203" s="54" t="str">
        <f>_xlfn.CONCAT(Table13[[#This Row],[Geographic Scope]],": ",Table13[[#This Row],[Content Type]])</f>
        <v>State: Explanatory &amp; Analysis</v>
      </c>
      <c r="I203" s="55">
        <v>1500667.0289473685</v>
      </c>
      <c r="J203" s="55">
        <v>1386046.8673684211</v>
      </c>
      <c r="K203" s="55">
        <v>155555.93357142856</v>
      </c>
      <c r="L203" s="54">
        <v>672987.21052631584</v>
      </c>
      <c r="M203" s="54">
        <v>429193</v>
      </c>
      <c r="N203" s="54">
        <v>620242.7094736842</v>
      </c>
      <c r="O203" s="54">
        <v>248541.94631578945</v>
      </c>
      <c r="P203" s="54">
        <v>27252.394736842107</v>
      </c>
      <c r="Q203" s="54">
        <v>344448.36842105264</v>
      </c>
      <c r="R203" s="54">
        <v>23375</v>
      </c>
      <c r="S203" s="54">
        <v>64549</v>
      </c>
      <c r="T203" s="54">
        <v>104800.00444444445</v>
      </c>
      <c r="U203" s="54">
        <v>50562.128333333334</v>
      </c>
      <c r="V203" s="54">
        <v>0</v>
      </c>
      <c r="W203" s="54">
        <v>121522.75</v>
      </c>
      <c r="X203" s="54">
        <v>26703.322857142859</v>
      </c>
      <c r="Y203" s="54">
        <v>732092.87555555557</v>
      </c>
      <c r="Z203" s="54">
        <v>578740.71052631584</v>
      </c>
      <c r="AA203" s="54">
        <v>1272302.382105263</v>
      </c>
      <c r="AB203" s="54">
        <v>12.19888888888889</v>
      </c>
      <c r="AC203" s="54">
        <v>9.448888888888888</v>
      </c>
      <c r="AD203" s="54">
        <v>4.5</v>
      </c>
      <c r="AE203" s="54">
        <v>1541170.3630434782</v>
      </c>
      <c r="AF203" s="54">
        <v>1346854.4286956524</v>
      </c>
      <c r="AG203" s="54">
        <v>279329.15562500001</v>
      </c>
      <c r="AH203" s="54">
        <v>633893.65956521744</v>
      </c>
      <c r="AI203" s="54">
        <v>237186.25</v>
      </c>
      <c r="AJ203" s="54">
        <v>655924.42260869569</v>
      </c>
      <c r="AK203" s="54">
        <v>237936.28086956521</v>
      </c>
      <c r="AL203" s="54">
        <v>52563.75304347826</v>
      </c>
      <c r="AM203" s="54">
        <v>365424.38869565213</v>
      </c>
      <c r="AN203" s="54">
        <v>45386.371249999997</v>
      </c>
      <c r="AO203" s="54">
        <v>74800.399999999994</v>
      </c>
      <c r="AP203" s="54">
        <v>169225.22222222222</v>
      </c>
      <c r="AQ203" s="54">
        <v>229109.72111111111</v>
      </c>
      <c r="AR203" s="54">
        <v>149874</v>
      </c>
      <c r="AS203" s="54">
        <v>46890.400000000001</v>
      </c>
      <c r="AT203" s="54">
        <v>17989.142857142859</v>
      </c>
      <c r="AU203" s="54">
        <v>835167.6508695652</v>
      </c>
      <c r="AV203" s="54">
        <v>568741.83956521738</v>
      </c>
      <c r="AW203" s="54">
        <v>1403909.4904347826</v>
      </c>
      <c r="AX203" s="54">
        <v>11.945384615384617</v>
      </c>
      <c r="AY203" s="54">
        <v>9.08</v>
      </c>
      <c r="AZ203" s="54">
        <v>4.65625</v>
      </c>
      <c r="BA203" s="54" t="s">
        <v>342</v>
      </c>
      <c r="BB203" s="54" t="s">
        <v>347</v>
      </c>
    </row>
    <row r="204" spans="1:54" x14ac:dyDescent="0.25">
      <c r="A204" s="54">
        <v>427</v>
      </c>
      <c r="B204" s="54">
        <v>2010</v>
      </c>
      <c r="C204" s="88" t="s">
        <v>80</v>
      </c>
      <c r="D204" s="54" t="s">
        <v>83</v>
      </c>
      <c r="E204" s="54" t="s">
        <v>78</v>
      </c>
      <c r="F204" s="54" t="str">
        <f>_xlfn.CONCAT(Table13[[#This Row],[Geographic Scope]],": ",Table13[[#This Row],[Sub-Type/Focus]])</f>
        <v>State: Multiple Related Topics</v>
      </c>
      <c r="G204" s="54" t="str">
        <f>_xlfn.CONCAT(Table13[[#This Row],[Geographic Scope]],": ",Table13[[#This Row],[Sub-Type/Focus]],": ",Table13[[#This Row],[Content Type]])</f>
        <v>State: Multiple Related Topics: Explanatory &amp; Analysis</v>
      </c>
      <c r="H204" s="54" t="str">
        <f>_xlfn.CONCAT(Table13[[#This Row],[Geographic Scope]],": ",Table13[[#This Row],[Content Type]])</f>
        <v>State: Explanatory &amp; Analysis</v>
      </c>
      <c r="I204" s="55">
        <v>1500667.0289473685</v>
      </c>
      <c r="J204" s="55">
        <v>1386046.8673684211</v>
      </c>
      <c r="K204" s="55">
        <v>155555.93357142856</v>
      </c>
      <c r="L204" s="54">
        <v>672987.21052631584</v>
      </c>
      <c r="M204" s="54">
        <v>429193</v>
      </c>
      <c r="N204" s="54">
        <v>620242.7094736842</v>
      </c>
      <c r="O204" s="54">
        <v>248541.94631578945</v>
      </c>
      <c r="P204" s="54">
        <v>27252.394736842107</v>
      </c>
      <c r="Q204" s="54">
        <v>344448.36842105264</v>
      </c>
      <c r="R204" s="54">
        <v>23375</v>
      </c>
      <c r="S204" s="54">
        <v>64549</v>
      </c>
      <c r="T204" s="54">
        <v>104800.00444444445</v>
      </c>
      <c r="U204" s="54">
        <v>50562.128333333334</v>
      </c>
      <c r="V204" s="54">
        <v>0</v>
      </c>
      <c r="W204" s="54">
        <v>121522.75</v>
      </c>
      <c r="X204" s="54">
        <v>26703.322857142859</v>
      </c>
      <c r="Y204" s="54">
        <v>732092.87555555557</v>
      </c>
      <c r="Z204" s="54">
        <v>578740.71052631584</v>
      </c>
      <c r="AA204" s="54">
        <v>1272302.382105263</v>
      </c>
      <c r="AB204" s="54">
        <v>12.19888888888889</v>
      </c>
      <c r="AC204" s="54">
        <v>9.448888888888888</v>
      </c>
      <c r="AD204" s="54">
        <v>4.5</v>
      </c>
      <c r="AE204" s="54">
        <v>1541170.3630434782</v>
      </c>
      <c r="AF204" s="54">
        <v>1346854.4286956524</v>
      </c>
      <c r="AG204" s="54">
        <v>279329.15562500001</v>
      </c>
      <c r="AH204" s="54">
        <v>633893.65956521744</v>
      </c>
      <c r="AI204" s="54">
        <v>237186.25</v>
      </c>
      <c r="AJ204" s="54">
        <v>655924.42260869569</v>
      </c>
      <c r="AK204" s="54">
        <v>237936.28086956521</v>
      </c>
      <c r="AL204" s="54">
        <v>52563.75304347826</v>
      </c>
      <c r="AM204" s="54">
        <v>365424.38869565213</v>
      </c>
      <c r="AN204" s="54">
        <v>45386.371249999997</v>
      </c>
      <c r="AO204" s="54">
        <v>74800.399999999994</v>
      </c>
      <c r="AP204" s="54">
        <v>169225.22222222222</v>
      </c>
      <c r="AQ204" s="54">
        <v>229109.72111111111</v>
      </c>
      <c r="AR204" s="54">
        <v>149874</v>
      </c>
      <c r="AS204" s="54">
        <v>46890.400000000001</v>
      </c>
      <c r="AT204" s="54">
        <v>17989.142857142859</v>
      </c>
      <c r="AU204" s="54">
        <v>835167.6508695652</v>
      </c>
      <c r="AV204" s="54">
        <v>568741.83956521738</v>
      </c>
      <c r="AW204" s="54">
        <v>1403909.4904347826</v>
      </c>
      <c r="AX204" s="54">
        <v>11.945384615384617</v>
      </c>
      <c r="AY204" s="54">
        <v>9.08</v>
      </c>
      <c r="AZ204" s="54">
        <v>4.65625</v>
      </c>
      <c r="BA204" s="54" t="s">
        <v>342</v>
      </c>
      <c r="BB204" s="54" t="s">
        <v>389</v>
      </c>
    </row>
    <row r="205" spans="1:54" x14ac:dyDescent="0.25">
      <c r="A205" s="54">
        <v>457</v>
      </c>
      <c r="B205" s="54">
        <v>2017</v>
      </c>
      <c r="C205" s="88" t="s">
        <v>80</v>
      </c>
      <c r="D205" s="54" t="s">
        <v>83</v>
      </c>
      <c r="E205" s="54" t="s">
        <v>78</v>
      </c>
      <c r="F205" s="54" t="str">
        <f>_xlfn.CONCAT(Table13[[#This Row],[Geographic Scope]],": ",Table13[[#This Row],[Sub-Type/Focus]])</f>
        <v>State: Multiple Related Topics</v>
      </c>
      <c r="G205" s="54" t="str">
        <f>_xlfn.CONCAT(Table13[[#This Row],[Geographic Scope]],": ",Table13[[#This Row],[Sub-Type/Focus]],": ",Table13[[#This Row],[Content Type]])</f>
        <v>State: Multiple Related Topics: Explanatory &amp; Analysis</v>
      </c>
      <c r="H205" s="54" t="str">
        <f>_xlfn.CONCAT(Table13[[#This Row],[Geographic Scope]],": ",Table13[[#This Row],[Content Type]])</f>
        <v>State: Explanatory &amp; Analysis</v>
      </c>
      <c r="I205" s="55">
        <v>1500667.0289473685</v>
      </c>
      <c r="J205" s="55">
        <v>1386046.8673684211</v>
      </c>
      <c r="K205" s="55">
        <v>155555.93357142856</v>
      </c>
      <c r="L205" s="54">
        <v>672987.21052631584</v>
      </c>
      <c r="M205" s="54">
        <v>429193</v>
      </c>
      <c r="N205" s="54">
        <v>620242.7094736842</v>
      </c>
      <c r="O205" s="54">
        <v>248541.94631578945</v>
      </c>
      <c r="P205" s="54">
        <v>27252.394736842107</v>
      </c>
      <c r="Q205" s="54">
        <v>344448.36842105264</v>
      </c>
      <c r="R205" s="54">
        <v>23375</v>
      </c>
      <c r="S205" s="54">
        <v>64549</v>
      </c>
      <c r="T205" s="54">
        <v>104800.00444444445</v>
      </c>
      <c r="U205" s="54">
        <v>50562.128333333334</v>
      </c>
      <c r="V205" s="54">
        <v>0</v>
      </c>
      <c r="W205" s="54">
        <v>121522.75</v>
      </c>
      <c r="X205" s="54">
        <v>26703.322857142859</v>
      </c>
      <c r="Y205" s="54">
        <v>732092.87555555557</v>
      </c>
      <c r="Z205" s="54">
        <v>578740.71052631584</v>
      </c>
      <c r="AA205" s="54">
        <v>1272302.382105263</v>
      </c>
      <c r="AB205" s="54">
        <v>12.19888888888889</v>
      </c>
      <c r="AC205" s="54">
        <v>9.448888888888888</v>
      </c>
      <c r="AD205" s="54">
        <v>4.5</v>
      </c>
      <c r="AE205" s="54">
        <v>1541170.3630434782</v>
      </c>
      <c r="AF205" s="54">
        <v>1346854.4286956524</v>
      </c>
      <c r="AG205" s="54">
        <v>279329.15562500001</v>
      </c>
      <c r="AH205" s="54">
        <v>633893.65956521744</v>
      </c>
      <c r="AI205" s="54">
        <v>237186.25</v>
      </c>
      <c r="AJ205" s="54">
        <v>655924.42260869569</v>
      </c>
      <c r="AK205" s="54">
        <v>237936.28086956521</v>
      </c>
      <c r="AL205" s="54">
        <v>52563.75304347826</v>
      </c>
      <c r="AM205" s="54">
        <v>365424.38869565213</v>
      </c>
      <c r="AN205" s="54">
        <v>45386.371249999997</v>
      </c>
      <c r="AO205" s="54">
        <v>74800.399999999994</v>
      </c>
      <c r="AP205" s="54">
        <v>169225.22222222222</v>
      </c>
      <c r="AQ205" s="54">
        <v>229109.72111111111</v>
      </c>
      <c r="AR205" s="54">
        <v>149874</v>
      </c>
      <c r="AS205" s="54">
        <v>46890.400000000001</v>
      </c>
      <c r="AT205" s="54">
        <v>17989.142857142859</v>
      </c>
      <c r="AU205" s="54">
        <v>835167.6508695652</v>
      </c>
      <c r="AV205" s="54">
        <v>568741.83956521738</v>
      </c>
      <c r="AW205" s="54">
        <v>1403909.4904347826</v>
      </c>
      <c r="AX205" s="54">
        <v>11.945384615384617</v>
      </c>
      <c r="AY205" s="54">
        <v>9.08</v>
      </c>
      <c r="AZ205" s="54">
        <v>4.65625</v>
      </c>
      <c r="BA205" s="54" t="s">
        <v>339</v>
      </c>
      <c r="BB205" s="54" t="s">
        <v>348</v>
      </c>
    </row>
    <row r="206" spans="1:54" x14ac:dyDescent="0.25">
      <c r="A206" s="54">
        <v>478</v>
      </c>
      <c r="B206" s="54">
        <v>2010</v>
      </c>
      <c r="C206" s="88" t="s">
        <v>80</v>
      </c>
      <c r="D206" s="54" t="s">
        <v>83</v>
      </c>
      <c r="E206" s="54" t="s">
        <v>78</v>
      </c>
      <c r="F206" s="54" t="str">
        <f>_xlfn.CONCAT(Table13[[#This Row],[Geographic Scope]],": ",Table13[[#This Row],[Sub-Type/Focus]])</f>
        <v>State: Multiple Related Topics</v>
      </c>
      <c r="G206" s="54" t="str">
        <f>_xlfn.CONCAT(Table13[[#This Row],[Geographic Scope]],": ",Table13[[#This Row],[Sub-Type/Focus]],": ",Table13[[#This Row],[Content Type]])</f>
        <v>State: Multiple Related Topics: Explanatory &amp; Analysis</v>
      </c>
      <c r="H206" s="54" t="str">
        <f>_xlfn.CONCAT(Table13[[#This Row],[Geographic Scope]],": ",Table13[[#This Row],[Content Type]])</f>
        <v>State: Explanatory &amp; Analysis</v>
      </c>
      <c r="I206" s="55">
        <v>1500667.0289473685</v>
      </c>
      <c r="J206" s="55">
        <v>1386046.8673684211</v>
      </c>
      <c r="K206" s="55">
        <v>155555.93357142856</v>
      </c>
      <c r="L206" s="54">
        <v>672987.21052631584</v>
      </c>
      <c r="M206" s="54">
        <v>429193</v>
      </c>
      <c r="N206" s="54">
        <v>620242.7094736842</v>
      </c>
      <c r="O206" s="54">
        <v>248541.94631578945</v>
      </c>
      <c r="P206" s="54">
        <v>27252.394736842107</v>
      </c>
      <c r="Q206" s="54">
        <v>344448.36842105264</v>
      </c>
      <c r="R206" s="54">
        <v>23375</v>
      </c>
      <c r="S206" s="54">
        <v>64549</v>
      </c>
      <c r="T206" s="54">
        <v>104800.00444444445</v>
      </c>
      <c r="U206" s="54">
        <v>50562.128333333334</v>
      </c>
      <c r="V206" s="54">
        <v>0</v>
      </c>
      <c r="W206" s="54">
        <v>121522.75</v>
      </c>
      <c r="X206" s="54">
        <v>26703.322857142859</v>
      </c>
      <c r="Y206" s="54">
        <v>732092.87555555557</v>
      </c>
      <c r="Z206" s="54">
        <v>578740.71052631584</v>
      </c>
      <c r="AA206" s="54">
        <v>1272302.382105263</v>
      </c>
      <c r="AB206" s="54">
        <v>12.19888888888889</v>
      </c>
      <c r="AC206" s="54">
        <v>9.448888888888888</v>
      </c>
      <c r="AD206" s="54">
        <v>4.5</v>
      </c>
      <c r="AE206" s="54">
        <v>1541170.3630434782</v>
      </c>
      <c r="AF206" s="54">
        <v>1346854.4286956524</v>
      </c>
      <c r="AG206" s="54">
        <v>279329.15562500001</v>
      </c>
      <c r="AH206" s="54">
        <v>633893.65956521744</v>
      </c>
      <c r="AI206" s="54">
        <v>237186.25</v>
      </c>
      <c r="AJ206" s="54">
        <v>655924.42260869569</v>
      </c>
      <c r="AK206" s="54">
        <v>237936.28086956521</v>
      </c>
      <c r="AL206" s="54">
        <v>52563.75304347826</v>
      </c>
      <c r="AM206" s="54">
        <v>365424.38869565213</v>
      </c>
      <c r="AN206" s="54">
        <v>45386.371249999997</v>
      </c>
      <c r="AO206" s="54">
        <v>74800.399999999994</v>
      </c>
      <c r="AP206" s="54">
        <v>169225.22222222222</v>
      </c>
      <c r="AQ206" s="54">
        <v>229109.72111111111</v>
      </c>
      <c r="AR206" s="54">
        <v>149874</v>
      </c>
      <c r="AS206" s="54">
        <v>46890.400000000001</v>
      </c>
      <c r="AT206" s="54">
        <v>17989.142857142859</v>
      </c>
      <c r="AU206" s="54">
        <v>835167.6508695652</v>
      </c>
      <c r="AV206" s="54">
        <v>568741.83956521738</v>
      </c>
      <c r="AW206" s="54">
        <v>1403909.4904347826</v>
      </c>
      <c r="AX206" s="54">
        <v>11.945384615384617</v>
      </c>
      <c r="AY206" s="54">
        <v>9.08</v>
      </c>
      <c r="AZ206" s="54">
        <v>4.65625</v>
      </c>
      <c r="BA206" s="54" t="s">
        <v>343</v>
      </c>
      <c r="BB206" s="54" t="s">
        <v>360</v>
      </c>
    </row>
    <row r="207" spans="1:54" x14ac:dyDescent="0.25">
      <c r="A207" s="54">
        <v>2936</v>
      </c>
      <c r="B207" s="54">
        <v>2019</v>
      </c>
      <c r="C207" s="88" t="s">
        <v>80</v>
      </c>
      <c r="D207" s="54" t="s">
        <v>83</v>
      </c>
      <c r="E207" s="54" t="s">
        <v>78</v>
      </c>
      <c r="F207" s="54" t="str">
        <f>_xlfn.CONCAT(Table13[[#This Row],[Geographic Scope]],": ",Table13[[#This Row],[Sub-Type/Focus]])</f>
        <v>State: Multiple Related Topics</v>
      </c>
      <c r="G207" s="54" t="str">
        <f>_xlfn.CONCAT(Table13[[#This Row],[Geographic Scope]],": ",Table13[[#This Row],[Sub-Type/Focus]],": ",Table13[[#This Row],[Content Type]])</f>
        <v>State: Multiple Related Topics: Explanatory &amp; Analysis</v>
      </c>
      <c r="H207" s="54" t="str">
        <f>_xlfn.CONCAT(Table13[[#This Row],[Geographic Scope]],": ",Table13[[#This Row],[Content Type]])</f>
        <v>State: Explanatory &amp; Analysis</v>
      </c>
      <c r="I207" s="55">
        <v>1500667.0289473685</v>
      </c>
      <c r="J207" s="55">
        <v>1386046.8673684211</v>
      </c>
      <c r="K207" s="55">
        <v>155555.93357142856</v>
      </c>
      <c r="L207" s="54">
        <v>672987.21052631584</v>
      </c>
      <c r="M207" s="54">
        <v>429193</v>
      </c>
      <c r="N207" s="54">
        <v>620242.7094736842</v>
      </c>
      <c r="O207" s="54">
        <v>248541.94631578945</v>
      </c>
      <c r="P207" s="54">
        <v>27252.394736842107</v>
      </c>
      <c r="Q207" s="54">
        <v>344448.36842105264</v>
      </c>
      <c r="R207" s="54">
        <v>23375</v>
      </c>
      <c r="S207" s="54">
        <v>64549</v>
      </c>
      <c r="T207" s="54">
        <v>104800.00444444445</v>
      </c>
      <c r="U207" s="54">
        <v>50562.128333333334</v>
      </c>
      <c r="V207" s="54">
        <v>0</v>
      </c>
      <c r="W207" s="54">
        <v>121522.75</v>
      </c>
      <c r="X207" s="54">
        <v>26703.322857142859</v>
      </c>
      <c r="Y207" s="54">
        <v>732092.87555555557</v>
      </c>
      <c r="Z207" s="54">
        <v>578740.71052631584</v>
      </c>
      <c r="AA207" s="54">
        <v>1272302.382105263</v>
      </c>
      <c r="AB207" s="54">
        <v>12.19888888888889</v>
      </c>
      <c r="AC207" s="54">
        <v>9.448888888888888</v>
      </c>
      <c r="AD207" s="54">
        <v>4.5</v>
      </c>
      <c r="AE207" s="54">
        <v>1541170.3630434782</v>
      </c>
      <c r="AF207" s="54">
        <v>1346854.4286956524</v>
      </c>
      <c r="AG207" s="54">
        <v>279329.15562500001</v>
      </c>
      <c r="AH207" s="54">
        <v>633893.65956521744</v>
      </c>
      <c r="AI207" s="54">
        <v>237186.25</v>
      </c>
      <c r="AJ207" s="54">
        <v>655924.42260869569</v>
      </c>
      <c r="AK207" s="54">
        <v>237936.28086956521</v>
      </c>
      <c r="AL207" s="54">
        <v>52563.75304347826</v>
      </c>
      <c r="AM207" s="54">
        <v>365424.38869565213</v>
      </c>
      <c r="AN207" s="54">
        <v>45386.371249999997</v>
      </c>
      <c r="AO207" s="54">
        <v>74800.399999999994</v>
      </c>
      <c r="AP207" s="54">
        <v>169225.22222222222</v>
      </c>
      <c r="AQ207" s="54">
        <v>229109.72111111111</v>
      </c>
      <c r="AR207" s="54">
        <v>149874</v>
      </c>
      <c r="AS207" s="54">
        <v>46890.400000000001</v>
      </c>
      <c r="AT207" s="54">
        <v>17989.142857142859</v>
      </c>
      <c r="AU207" s="54">
        <v>835167.6508695652</v>
      </c>
      <c r="AV207" s="54">
        <v>568741.83956521738</v>
      </c>
      <c r="AW207" s="54">
        <v>1403909.4904347826</v>
      </c>
      <c r="AX207" s="54">
        <v>11.945384615384617</v>
      </c>
      <c r="AY207" s="54">
        <v>9.08</v>
      </c>
      <c r="AZ207" s="54">
        <v>4.65625</v>
      </c>
      <c r="BA207" s="54" t="s">
        <v>343</v>
      </c>
      <c r="BB207" s="54" t="s">
        <v>366</v>
      </c>
    </row>
    <row r="208" spans="1:54" x14ac:dyDescent="0.25">
      <c r="A208" s="54">
        <v>2946</v>
      </c>
      <c r="B208" s="54">
        <v>2019</v>
      </c>
      <c r="C208" s="88" t="s">
        <v>80</v>
      </c>
      <c r="D208" s="54" t="s">
        <v>83</v>
      </c>
      <c r="E208" s="54" t="s">
        <v>78</v>
      </c>
      <c r="F208" s="54" t="str">
        <f>_xlfn.CONCAT(Table13[[#This Row],[Geographic Scope]],": ",Table13[[#This Row],[Sub-Type/Focus]])</f>
        <v>State: Multiple Related Topics</v>
      </c>
      <c r="G208" s="54" t="str">
        <f>_xlfn.CONCAT(Table13[[#This Row],[Geographic Scope]],": ",Table13[[#This Row],[Sub-Type/Focus]],": ",Table13[[#This Row],[Content Type]])</f>
        <v>State: Multiple Related Topics: Explanatory &amp; Analysis</v>
      </c>
      <c r="H208" s="54" t="str">
        <f>_xlfn.CONCAT(Table13[[#This Row],[Geographic Scope]],": ",Table13[[#This Row],[Content Type]])</f>
        <v>State: Explanatory &amp; Analysis</v>
      </c>
      <c r="I208" s="55">
        <v>1500667.0289473685</v>
      </c>
      <c r="J208" s="55">
        <v>1386046.8673684211</v>
      </c>
      <c r="K208" s="55">
        <v>155555.93357142856</v>
      </c>
      <c r="L208" s="54">
        <v>672987.21052631584</v>
      </c>
      <c r="M208" s="54">
        <v>429193</v>
      </c>
      <c r="N208" s="54">
        <v>620242.7094736842</v>
      </c>
      <c r="O208" s="54">
        <v>248541.94631578945</v>
      </c>
      <c r="P208" s="54">
        <v>27252.394736842107</v>
      </c>
      <c r="Q208" s="54">
        <v>344448.36842105264</v>
      </c>
      <c r="R208" s="54">
        <v>23375</v>
      </c>
      <c r="S208" s="54">
        <v>64549</v>
      </c>
      <c r="T208" s="54">
        <v>104800.00444444445</v>
      </c>
      <c r="U208" s="54">
        <v>50562.128333333334</v>
      </c>
      <c r="V208" s="54">
        <v>0</v>
      </c>
      <c r="W208" s="54">
        <v>121522.75</v>
      </c>
      <c r="X208" s="54">
        <v>26703.322857142859</v>
      </c>
      <c r="Y208" s="54">
        <v>732092.87555555557</v>
      </c>
      <c r="Z208" s="54">
        <v>578740.71052631584</v>
      </c>
      <c r="AA208" s="54">
        <v>1272302.382105263</v>
      </c>
      <c r="AB208" s="54">
        <v>12.19888888888889</v>
      </c>
      <c r="AC208" s="54">
        <v>9.448888888888888</v>
      </c>
      <c r="AD208" s="54">
        <v>4.5</v>
      </c>
      <c r="AE208" s="54">
        <v>1541170.3630434782</v>
      </c>
      <c r="AF208" s="54">
        <v>1346854.4286956524</v>
      </c>
      <c r="AG208" s="54">
        <v>279329.15562500001</v>
      </c>
      <c r="AH208" s="54">
        <v>633893.65956521744</v>
      </c>
      <c r="AI208" s="54">
        <v>237186.25</v>
      </c>
      <c r="AJ208" s="54">
        <v>655924.42260869569</v>
      </c>
      <c r="AK208" s="54">
        <v>237936.28086956521</v>
      </c>
      <c r="AL208" s="54">
        <v>52563.75304347826</v>
      </c>
      <c r="AM208" s="54">
        <v>365424.38869565213</v>
      </c>
      <c r="AN208" s="54">
        <v>45386.371249999997</v>
      </c>
      <c r="AO208" s="54">
        <v>74800.399999999994</v>
      </c>
      <c r="AP208" s="54">
        <v>169225.22222222222</v>
      </c>
      <c r="AQ208" s="54">
        <v>229109.72111111111</v>
      </c>
      <c r="AR208" s="54">
        <v>149874</v>
      </c>
      <c r="AS208" s="54">
        <v>46890.400000000001</v>
      </c>
      <c r="AT208" s="54">
        <v>17989.142857142859</v>
      </c>
      <c r="AU208" s="54">
        <v>835167.6508695652</v>
      </c>
      <c r="AV208" s="54">
        <v>568741.83956521738</v>
      </c>
      <c r="AW208" s="54">
        <v>1403909.4904347826</v>
      </c>
      <c r="AX208" s="54">
        <v>11.945384615384617</v>
      </c>
      <c r="AY208" s="54">
        <v>9.08</v>
      </c>
      <c r="AZ208" s="54">
        <v>4.65625</v>
      </c>
      <c r="BA208" s="54" t="s">
        <v>343</v>
      </c>
      <c r="BB208" s="54" t="s">
        <v>375</v>
      </c>
    </row>
    <row r="209" spans="1:54" x14ac:dyDescent="0.25">
      <c r="A209" s="54">
        <v>365</v>
      </c>
      <c r="B209" s="54">
        <v>1977</v>
      </c>
      <c r="C209" s="88" t="s">
        <v>80</v>
      </c>
      <c r="D209" s="54" t="s">
        <v>83</v>
      </c>
      <c r="E209" s="54" t="s">
        <v>79</v>
      </c>
      <c r="F209" s="54" t="str">
        <f>_xlfn.CONCAT(Table13[[#This Row],[Geographic Scope]],": ",Table13[[#This Row],[Sub-Type/Focus]])</f>
        <v>State: Single-Topic</v>
      </c>
      <c r="G209" s="54" t="str">
        <f>_xlfn.CONCAT(Table13[[#This Row],[Geographic Scope]],": ",Table13[[#This Row],[Sub-Type/Focus]],": ",Table13[[#This Row],[Content Type]])</f>
        <v>State: Single-Topic: Explanatory &amp; Analysis</v>
      </c>
      <c r="H209" s="54" t="str">
        <f>_xlfn.CONCAT(Table13[[#This Row],[Geographic Scope]],": ",Table13[[#This Row],[Content Type]])</f>
        <v>State: Explanatory &amp; Analysis</v>
      </c>
      <c r="I209" s="55">
        <v>1500667.0289473685</v>
      </c>
      <c r="J209" s="55">
        <v>1386046.8673684211</v>
      </c>
      <c r="K209" s="55">
        <v>155555.93357142856</v>
      </c>
      <c r="L209" s="54">
        <v>672987.21052631584</v>
      </c>
      <c r="M209" s="54">
        <v>429193</v>
      </c>
      <c r="N209" s="54">
        <v>620242.7094736842</v>
      </c>
      <c r="O209" s="54">
        <v>248541.94631578945</v>
      </c>
      <c r="P209" s="54">
        <v>27252.394736842107</v>
      </c>
      <c r="Q209" s="54">
        <v>344448.36842105264</v>
      </c>
      <c r="R209" s="54">
        <v>23375</v>
      </c>
      <c r="S209" s="54">
        <v>64549</v>
      </c>
      <c r="T209" s="54">
        <v>104800.00444444445</v>
      </c>
      <c r="U209" s="54">
        <v>50562.128333333334</v>
      </c>
      <c r="V209" s="54">
        <v>0</v>
      </c>
      <c r="W209" s="54">
        <v>121522.75</v>
      </c>
      <c r="X209" s="54">
        <v>26703.322857142859</v>
      </c>
      <c r="Y209" s="54">
        <v>732092.87555555557</v>
      </c>
      <c r="Z209" s="54">
        <v>578740.71052631584</v>
      </c>
      <c r="AA209" s="54">
        <v>1272302.382105263</v>
      </c>
      <c r="AB209" s="54">
        <v>12.19888888888889</v>
      </c>
      <c r="AC209" s="54">
        <v>9.448888888888888</v>
      </c>
      <c r="AD209" s="54">
        <v>4.5</v>
      </c>
      <c r="AE209" s="54">
        <v>836227.34249999991</v>
      </c>
      <c r="AF209" s="54">
        <v>812966.30999999994</v>
      </c>
      <c r="AG209" s="54">
        <v>37217.652000000002</v>
      </c>
      <c r="AH209" s="54">
        <v>766903.28571428568</v>
      </c>
      <c r="AI209" s="54">
        <v>2220</v>
      </c>
      <c r="AJ209" s="54">
        <v>141648.435</v>
      </c>
      <c r="AK209" s="54">
        <v>25520.3475</v>
      </c>
      <c r="AL209" s="54">
        <v>13590.5875</v>
      </c>
      <c r="AM209" s="54">
        <v>102537.5</v>
      </c>
      <c r="AN209" s="54">
        <v>0</v>
      </c>
      <c r="AO209" s="54">
        <v>550</v>
      </c>
      <c r="AP209" s="54">
        <v>22770</v>
      </c>
      <c r="AQ209" s="54">
        <v>0</v>
      </c>
      <c r="AR209" s="54">
        <v>0</v>
      </c>
      <c r="AS209" s="54">
        <v>18000</v>
      </c>
      <c r="AT209" s="54">
        <v>60724.13</v>
      </c>
      <c r="AU209" s="54">
        <v>566330.125</v>
      </c>
      <c r="AV209" s="54">
        <v>200559.5</v>
      </c>
      <c r="AW209" s="54">
        <v>766889.625</v>
      </c>
      <c r="AX209" s="54">
        <v>8.5142857142857142</v>
      </c>
      <c r="AY209" s="54">
        <v>5.4428571428571431</v>
      </c>
      <c r="AZ209" s="54">
        <v>7.166666666666667</v>
      </c>
      <c r="BA209" s="54" t="s">
        <v>343</v>
      </c>
      <c r="BB209" s="54" t="s">
        <v>390</v>
      </c>
    </row>
    <row r="210" spans="1:54" x14ac:dyDescent="0.25">
      <c r="A210" s="54">
        <v>376</v>
      </c>
      <c r="B210" s="54">
        <v>2010</v>
      </c>
      <c r="C210" s="88" t="s">
        <v>80</v>
      </c>
      <c r="D210" s="54" t="s">
        <v>83</v>
      </c>
      <c r="E210" s="54" t="s">
        <v>79</v>
      </c>
      <c r="F210" s="54" t="str">
        <f>_xlfn.CONCAT(Table13[[#This Row],[Geographic Scope]],": ",Table13[[#This Row],[Sub-Type/Focus]])</f>
        <v>State: Single-Topic</v>
      </c>
      <c r="G210" s="54" t="str">
        <f>_xlfn.CONCAT(Table13[[#This Row],[Geographic Scope]],": ",Table13[[#This Row],[Sub-Type/Focus]],": ",Table13[[#This Row],[Content Type]])</f>
        <v>State: Single-Topic: Explanatory &amp; Analysis</v>
      </c>
      <c r="H210" s="54" t="str">
        <f>_xlfn.CONCAT(Table13[[#This Row],[Geographic Scope]],": ",Table13[[#This Row],[Content Type]])</f>
        <v>State: Explanatory &amp; Analysis</v>
      </c>
      <c r="I210" s="55">
        <v>1500667.0289473685</v>
      </c>
      <c r="J210" s="55">
        <v>1386046.8673684211</v>
      </c>
      <c r="K210" s="55">
        <v>155555.93357142856</v>
      </c>
      <c r="L210" s="54">
        <v>672987.21052631584</v>
      </c>
      <c r="M210" s="54">
        <v>429193</v>
      </c>
      <c r="N210" s="54">
        <v>620242.7094736842</v>
      </c>
      <c r="O210" s="54">
        <v>248541.94631578945</v>
      </c>
      <c r="P210" s="54">
        <v>27252.394736842107</v>
      </c>
      <c r="Q210" s="54">
        <v>344448.36842105264</v>
      </c>
      <c r="R210" s="54">
        <v>23375</v>
      </c>
      <c r="S210" s="54">
        <v>64549</v>
      </c>
      <c r="T210" s="54">
        <v>104800.00444444445</v>
      </c>
      <c r="U210" s="54">
        <v>50562.128333333334</v>
      </c>
      <c r="V210" s="54">
        <v>0</v>
      </c>
      <c r="W210" s="54">
        <v>121522.75</v>
      </c>
      <c r="X210" s="54">
        <v>26703.322857142859</v>
      </c>
      <c r="Y210" s="54">
        <v>732092.87555555557</v>
      </c>
      <c r="Z210" s="54">
        <v>578740.71052631584</v>
      </c>
      <c r="AA210" s="54">
        <v>1272302.382105263</v>
      </c>
      <c r="AB210" s="54">
        <v>12.19888888888889</v>
      </c>
      <c r="AC210" s="54">
        <v>9.448888888888888</v>
      </c>
      <c r="AD210" s="54">
        <v>4.5</v>
      </c>
      <c r="AE210" s="54">
        <v>836227.34249999991</v>
      </c>
      <c r="AF210" s="54">
        <v>812966.30999999994</v>
      </c>
      <c r="AG210" s="54">
        <v>37217.652000000002</v>
      </c>
      <c r="AH210" s="54">
        <v>766903.28571428568</v>
      </c>
      <c r="AI210" s="54">
        <v>2220</v>
      </c>
      <c r="AJ210" s="54">
        <v>141648.435</v>
      </c>
      <c r="AK210" s="54">
        <v>25520.3475</v>
      </c>
      <c r="AL210" s="54">
        <v>13590.5875</v>
      </c>
      <c r="AM210" s="54">
        <v>102537.5</v>
      </c>
      <c r="AN210" s="54">
        <v>0</v>
      </c>
      <c r="AO210" s="54">
        <v>550</v>
      </c>
      <c r="AP210" s="54">
        <v>22770</v>
      </c>
      <c r="AQ210" s="54">
        <v>0</v>
      </c>
      <c r="AR210" s="54">
        <v>0</v>
      </c>
      <c r="AS210" s="54">
        <v>18000</v>
      </c>
      <c r="AT210" s="54">
        <v>60724.13</v>
      </c>
      <c r="AU210" s="54">
        <v>566330.125</v>
      </c>
      <c r="AV210" s="54">
        <v>200559.5</v>
      </c>
      <c r="AW210" s="54">
        <v>766889.625</v>
      </c>
      <c r="AX210" s="54">
        <v>8.5142857142857142</v>
      </c>
      <c r="AY210" s="54">
        <v>5.4428571428571431</v>
      </c>
      <c r="AZ210" s="54">
        <v>7.166666666666667</v>
      </c>
      <c r="BA210" s="54" t="s">
        <v>343</v>
      </c>
      <c r="BB210" s="54" t="s">
        <v>375</v>
      </c>
    </row>
    <row r="211" spans="1:54" x14ac:dyDescent="0.25">
      <c r="A211" s="54">
        <v>429</v>
      </c>
      <c r="B211" s="54">
        <v>2011</v>
      </c>
      <c r="C211" s="88" t="s">
        <v>80</v>
      </c>
      <c r="D211" s="54" t="s">
        <v>83</v>
      </c>
      <c r="E211" s="54" t="s">
        <v>79</v>
      </c>
      <c r="F211" s="54" t="str">
        <f>_xlfn.CONCAT(Table13[[#This Row],[Geographic Scope]],": ",Table13[[#This Row],[Sub-Type/Focus]])</f>
        <v>State: Single-Topic</v>
      </c>
      <c r="G211" s="54" t="str">
        <f>_xlfn.CONCAT(Table13[[#This Row],[Geographic Scope]],": ",Table13[[#This Row],[Sub-Type/Focus]],": ",Table13[[#This Row],[Content Type]])</f>
        <v>State: Single-Topic: Explanatory &amp; Analysis</v>
      </c>
      <c r="H211" s="54" t="str">
        <f>_xlfn.CONCAT(Table13[[#This Row],[Geographic Scope]],": ",Table13[[#This Row],[Content Type]])</f>
        <v>State: Explanatory &amp; Analysis</v>
      </c>
      <c r="I211" s="55">
        <v>1500667.0289473685</v>
      </c>
      <c r="J211" s="55">
        <v>1386046.8673684211</v>
      </c>
      <c r="K211" s="55">
        <v>155555.93357142856</v>
      </c>
      <c r="L211" s="54">
        <v>672987.21052631584</v>
      </c>
      <c r="M211" s="54">
        <v>429193</v>
      </c>
      <c r="N211" s="54">
        <v>620242.7094736842</v>
      </c>
      <c r="O211" s="54">
        <v>248541.94631578945</v>
      </c>
      <c r="P211" s="54">
        <v>27252.394736842107</v>
      </c>
      <c r="Q211" s="54">
        <v>344448.36842105264</v>
      </c>
      <c r="R211" s="54">
        <v>23375</v>
      </c>
      <c r="S211" s="54">
        <v>64549</v>
      </c>
      <c r="T211" s="54">
        <v>104800.00444444445</v>
      </c>
      <c r="U211" s="54">
        <v>50562.128333333334</v>
      </c>
      <c r="V211" s="54">
        <v>0</v>
      </c>
      <c r="W211" s="54">
        <v>121522.75</v>
      </c>
      <c r="X211" s="54">
        <v>26703.322857142859</v>
      </c>
      <c r="Y211" s="54">
        <v>732092.87555555557</v>
      </c>
      <c r="Z211" s="54">
        <v>578740.71052631584</v>
      </c>
      <c r="AA211" s="54">
        <v>1272302.382105263</v>
      </c>
      <c r="AB211" s="54">
        <v>12.19888888888889</v>
      </c>
      <c r="AC211" s="54">
        <v>9.448888888888888</v>
      </c>
      <c r="AD211" s="54">
        <v>4.5</v>
      </c>
      <c r="AE211" s="54">
        <v>836227.34249999991</v>
      </c>
      <c r="AF211" s="54">
        <v>812966.30999999994</v>
      </c>
      <c r="AG211" s="54">
        <v>37217.652000000002</v>
      </c>
      <c r="AH211" s="54">
        <v>766903.28571428568</v>
      </c>
      <c r="AI211" s="54">
        <v>2220</v>
      </c>
      <c r="AJ211" s="54">
        <v>141648.435</v>
      </c>
      <c r="AK211" s="54">
        <v>25520.3475</v>
      </c>
      <c r="AL211" s="54">
        <v>13590.5875</v>
      </c>
      <c r="AM211" s="54">
        <v>102537.5</v>
      </c>
      <c r="AN211" s="54">
        <v>0</v>
      </c>
      <c r="AO211" s="54">
        <v>550</v>
      </c>
      <c r="AP211" s="54">
        <v>22770</v>
      </c>
      <c r="AQ211" s="54">
        <v>0</v>
      </c>
      <c r="AR211" s="54">
        <v>0</v>
      </c>
      <c r="AS211" s="54">
        <v>18000</v>
      </c>
      <c r="AT211" s="54">
        <v>60724.13</v>
      </c>
      <c r="AU211" s="54">
        <v>566330.125</v>
      </c>
      <c r="AV211" s="54">
        <v>200559.5</v>
      </c>
      <c r="AW211" s="54">
        <v>766889.625</v>
      </c>
      <c r="AX211" s="54">
        <v>8.5142857142857142</v>
      </c>
      <c r="AY211" s="54">
        <v>5.4428571428571431</v>
      </c>
      <c r="AZ211" s="54">
        <v>7.166666666666667</v>
      </c>
      <c r="BA211" s="54" t="s">
        <v>343</v>
      </c>
      <c r="BB211" s="54" t="s">
        <v>375</v>
      </c>
    </row>
    <row r="212" spans="1:54" x14ac:dyDescent="0.25">
      <c r="A212" s="54">
        <v>6845</v>
      </c>
      <c r="B212" s="54">
        <v>2018</v>
      </c>
      <c r="C212" s="88" t="s">
        <v>80</v>
      </c>
      <c r="D212" s="54" t="s">
        <v>83</v>
      </c>
      <c r="E212" s="54" t="s">
        <v>79</v>
      </c>
      <c r="F212" s="54" t="str">
        <f>_xlfn.CONCAT(Table13[[#This Row],[Geographic Scope]],": ",Table13[[#This Row],[Sub-Type/Focus]])</f>
        <v>State: Single-Topic</v>
      </c>
      <c r="G212" s="54" t="str">
        <f>_xlfn.CONCAT(Table13[[#This Row],[Geographic Scope]],": ",Table13[[#This Row],[Sub-Type/Focus]],": ",Table13[[#This Row],[Content Type]])</f>
        <v>State: Single-Topic: Explanatory &amp; Analysis</v>
      </c>
      <c r="H212" s="54" t="str">
        <f>_xlfn.CONCAT(Table13[[#This Row],[Geographic Scope]],": ",Table13[[#This Row],[Content Type]])</f>
        <v>State: Explanatory &amp; Analysis</v>
      </c>
      <c r="I212" s="55">
        <v>1500667.0289473685</v>
      </c>
      <c r="J212" s="55">
        <v>1386046.8673684211</v>
      </c>
      <c r="K212" s="55">
        <v>155555.93357142856</v>
      </c>
      <c r="L212" s="54">
        <v>672987.21052631584</v>
      </c>
      <c r="M212" s="54">
        <v>429193</v>
      </c>
      <c r="N212" s="54">
        <v>620242.7094736842</v>
      </c>
      <c r="O212" s="54">
        <v>248541.94631578945</v>
      </c>
      <c r="P212" s="54">
        <v>27252.394736842107</v>
      </c>
      <c r="Q212" s="54">
        <v>344448.36842105264</v>
      </c>
      <c r="R212" s="54">
        <v>23375</v>
      </c>
      <c r="S212" s="54">
        <v>64549</v>
      </c>
      <c r="T212" s="54">
        <v>104800.00444444445</v>
      </c>
      <c r="U212" s="54">
        <v>50562.128333333334</v>
      </c>
      <c r="V212" s="54">
        <v>0</v>
      </c>
      <c r="W212" s="54">
        <v>121522.75</v>
      </c>
      <c r="X212" s="54">
        <v>26703.322857142859</v>
      </c>
      <c r="Y212" s="54">
        <v>732092.87555555557</v>
      </c>
      <c r="Z212" s="54">
        <v>578740.71052631584</v>
      </c>
      <c r="AA212" s="54">
        <v>1272302.382105263</v>
      </c>
      <c r="AB212" s="54">
        <v>12.19888888888889</v>
      </c>
      <c r="AC212" s="54">
        <v>9.448888888888888</v>
      </c>
      <c r="AD212" s="54">
        <v>4.5</v>
      </c>
      <c r="AE212" s="54">
        <v>836227.34249999991</v>
      </c>
      <c r="AF212" s="54">
        <v>812966.30999999994</v>
      </c>
      <c r="AG212" s="54">
        <v>37217.652000000002</v>
      </c>
      <c r="AH212" s="54">
        <v>766903.28571428568</v>
      </c>
      <c r="AI212" s="54">
        <v>2220</v>
      </c>
      <c r="AJ212" s="54">
        <v>141648.435</v>
      </c>
      <c r="AK212" s="54">
        <v>25520.3475</v>
      </c>
      <c r="AL212" s="54">
        <v>13590.5875</v>
      </c>
      <c r="AM212" s="54">
        <v>102537.5</v>
      </c>
      <c r="AN212" s="54">
        <v>0</v>
      </c>
      <c r="AO212" s="54">
        <v>550</v>
      </c>
      <c r="AP212" s="54">
        <v>22770</v>
      </c>
      <c r="AQ212" s="54">
        <v>0</v>
      </c>
      <c r="AR212" s="54">
        <v>0</v>
      </c>
      <c r="AS212" s="54">
        <v>18000</v>
      </c>
      <c r="AT212" s="54">
        <v>60724.13</v>
      </c>
      <c r="AU212" s="54">
        <v>566330.125</v>
      </c>
      <c r="AV212" s="54">
        <v>200559.5</v>
      </c>
      <c r="AW212" s="54">
        <v>766889.625</v>
      </c>
      <c r="AX212" s="54">
        <v>8.5142857142857142</v>
      </c>
      <c r="AY212" s="54">
        <v>5.4428571428571431</v>
      </c>
      <c r="AZ212" s="54">
        <v>7.166666666666667</v>
      </c>
      <c r="BA212" s="54" t="s">
        <v>339</v>
      </c>
      <c r="BB212" s="54" t="s">
        <v>346</v>
      </c>
    </row>
    <row r="213" spans="1:54" x14ac:dyDescent="0.25">
      <c r="A213" s="54">
        <v>327</v>
      </c>
      <c r="B213" s="54">
        <v>2012</v>
      </c>
      <c r="C213" s="88" t="s">
        <v>81</v>
      </c>
      <c r="D213" s="54" t="s">
        <v>83</v>
      </c>
      <c r="E213" s="54" t="s">
        <v>77</v>
      </c>
      <c r="F213" s="54" t="str">
        <f>_xlfn.CONCAT(Table13[[#This Row],[Geographic Scope]],": ",Table13[[#This Row],[Sub-Type/Focus]])</f>
        <v>State: General</v>
      </c>
      <c r="G213" s="54" t="str">
        <f>_xlfn.CONCAT(Table13[[#This Row],[Geographic Scope]],": ",Table13[[#This Row],[Sub-Type/Focus]],": ",Table13[[#This Row],[Content Type]])</f>
        <v>State: General: Investigative</v>
      </c>
      <c r="H213" s="54" t="str">
        <f>_xlfn.CONCAT(Table13[[#This Row],[Geographic Scope]],": ",Table13[[#This Row],[Content Type]])</f>
        <v>State: Investigative</v>
      </c>
      <c r="I213" s="55">
        <v>1476760.098</v>
      </c>
      <c r="J213" s="55">
        <v>918840.63800000004</v>
      </c>
      <c r="K213" s="55">
        <v>1014399.0181818183</v>
      </c>
      <c r="L213" s="54">
        <v>522940.39699999988</v>
      </c>
      <c r="M213" s="54">
        <v>304355.33333333331</v>
      </c>
      <c r="N213" s="54">
        <v>342084.29249999998</v>
      </c>
      <c r="O213" s="54">
        <v>68598.361000000004</v>
      </c>
      <c r="P213" s="54">
        <v>49702.525999999998</v>
      </c>
      <c r="Q213" s="54">
        <v>223783.40549999996</v>
      </c>
      <c r="R213" s="54">
        <v>40813.2425</v>
      </c>
      <c r="S213" s="54">
        <v>501305</v>
      </c>
      <c r="T213" s="54">
        <v>258030</v>
      </c>
      <c r="U213" s="54">
        <v>661761.73333333328</v>
      </c>
      <c r="V213" s="54">
        <v>674937</v>
      </c>
      <c r="W213" s="54">
        <v>55800.5</v>
      </c>
      <c r="X213" s="54">
        <v>1061453.6000000001</v>
      </c>
      <c r="Y213" s="54">
        <v>962756.5135</v>
      </c>
      <c r="Z213" s="54">
        <v>361181.83250000002</v>
      </c>
      <c r="AA213" s="54">
        <v>1323938.3460000001</v>
      </c>
      <c r="AB213" s="54">
        <v>11.608695652173912</v>
      </c>
      <c r="AC213" s="54">
        <v>8.4130434782608692</v>
      </c>
      <c r="AD213" s="54">
        <v>5.25</v>
      </c>
      <c r="AE213" s="54">
        <v>1430480.5480000002</v>
      </c>
      <c r="AF213" s="54">
        <v>766813.45039999997</v>
      </c>
      <c r="AG213" s="54">
        <v>975981.02588235307</v>
      </c>
      <c r="AH213" s="54">
        <v>336452.80375000002</v>
      </c>
      <c r="AI213" s="54">
        <v>408926.20400000003</v>
      </c>
      <c r="AJ213" s="54">
        <v>350007.61600000004</v>
      </c>
      <c r="AK213" s="54">
        <v>134596.64920000004</v>
      </c>
      <c r="AL213" s="54">
        <v>40407.599999999999</v>
      </c>
      <c r="AM213" s="54">
        <v>175003.36679999999</v>
      </c>
      <c r="AN213" s="54">
        <v>50107.924999999996</v>
      </c>
      <c r="AO213" s="54">
        <v>743481.6</v>
      </c>
      <c r="AP213" s="54">
        <v>289910.64</v>
      </c>
      <c r="AQ213" s="54">
        <v>86295.495999999999</v>
      </c>
      <c r="AR213" s="54">
        <v>602544</v>
      </c>
      <c r="AS213" s="54">
        <v>94092.274285714288</v>
      </c>
      <c r="AT213" s="54">
        <v>615836.75</v>
      </c>
      <c r="AU213" s="54">
        <v>694815.35583333333</v>
      </c>
      <c r="AV213" s="54">
        <v>394945.14399999997</v>
      </c>
      <c r="AW213" s="54">
        <v>1061967.8855999999</v>
      </c>
      <c r="AX213" s="54">
        <v>9.6148148148148156</v>
      </c>
      <c r="AY213" s="54">
        <v>7.3055555555555554</v>
      </c>
      <c r="AZ213" s="54">
        <v>3.6676470588235297</v>
      </c>
      <c r="BA213" s="54" t="s">
        <v>343</v>
      </c>
      <c r="BB213" s="54" t="s">
        <v>377</v>
      </c>
    </row>
    <row r="214" spans="1:54" x14ac:dyDescent="0.25">
      <c r="A214" s="54">
        <v>328</v>
      </c>
      <c r="B214" s="54">
        <v>2017</v>
      </c>
      <c r="C214" s="88" t="s">
        <v>81</v>
      </c>
      <c r="D214" s="54" t="s">
        <v>83</v>
      </c>
      <c r="E214" s="54" t="s">
        <v>77</v>
      </c>
      <c r="F214" s="54" t="str">
        <f>_xlfn.CONCAT(Table13[[#This Row],[Geographic Scope]],": ",Table13[[#This Row],[Sub-Type/Focus]])</f>
        <v>State: General</v>
      </c>
      <c r="G214" s="54" t="str">
        <f>_xlfn.CONCAT(Table13[[#This Row],[Geographic Scope]],": ",Table13[[#This Row],[Sub-Type/Focus]],": ",Table13[[#This Row],[Content Type]])</f>
        <v>State: General: Investigative</v>
      </c>
      <c r="H214" s="54" t="str">
        <f>_xlfn.CONCAT(Table13[[#This Row],[Geographic Scope]],": ",Table13[[#This Row],[Content Type]])</f>
        <v>State: Investigative</v>
      </c>
      <c r="I214" s="55">
        <v>1476760.098</v>
      </c>
      <c r="J214" s="55">
        <v>918840.63800000004</v>
      </c>
      <c r="K214" s="55">
        <v>1014399.0181818183</v>
      </c>
      <c r="L214" s="54">
        <v>522940.39699999988</v>
      </c>
      <c r="M214" s="54">
        <v>304355.33333333331</v>
      </c>
      <c r="N214" s="54">
        <v>342084.29249999998</v>
      </c>
      <c r="O214" s="54">
        <v>68598.361000000004</v>
      </c>
      <c r="P214" s="54">
        <v>49702.525999999998</v>
      </c>
      <c r="Q214" s="54">
        <v>223783.40549999996</v>
      </c>
      <c r="R214" s="54">
        <v>40813.2425</v>
      </c>
      <c r="S214" s="54">
        <v>501305</v>
      </c>
      <c r="T214" s="54">
        <v>258030</v>
      </c>
      <c r="U214" s="54">
        <v>661761.73333333328</v>
      </c>
      <c r="V214" s="54">
        <v>674937</v>
      </c>
      <c r="W214" s="54">
        <v>55800.5</v>
      </c>
      <c r="X214" s="54">
        <v>1061453.6000000001</v>
      </c>
      <c r="Y214" s="54">
        <v>962756.5135</v>
      </c>
      <c r="Z214" s="54">
        <v>361181.83250000002</v>
      </c>
      <c r="AA214" s="54">
        <v>1323938.3460000001</v>
      </c>
      <c r="AB214" s="54">
        <v>11.608695652173912</v>
      </c>
      <c r="AC214" s="54">
        <v>8.4130434782608692</v>
      </c>
      <c r="AD214" s="54">
        <v>5.25</v>
      </c>
      <c r="AE214" s="54">
        <v>1430480.5480000002</v>
      </c>
      <c r="AF214" s="54">
        <v>766813.45039999997</v>
      </c>
      <c r="AG214" s="54">
        <v>975981.02588235307</v>
      </c>
      <c r="AH214" s="54">
        <v>336452.80375000002</v>
      </c>
      <c r="AI214" s="54">
        <v>408926.20400000003</v>
      </c>
      <c r="AJ214" s="54">
        <v>350007.61600000004</v>
      </c>
      <c r="AK214" s="54">
        <v>134596.64920000004</v>
      </c>
      <c r="AL214" s="54">
        <v>40407.599999999999</v>
      </c>
      <c r="AM214" s="54">
        <v>175003.36679999999</v>
      </c>
      <c r="AN214" s="54">
        <v>50107.924999999996</v>
      </c>
      <c r="AO214" s="54">
        <v>743481.6</v>
      </c>
      <c r="AP214" s="54">
        <v>289910.64</v>
      </c>
      <c r="AQ214" s="54">
        <v>86295.495999999999</v>
      </c>
      <c r="AR214" s="54">
        <v>602544</v>
      </c>
      <c r="AS214" s="54">
        <v>94092.274285714288</v>
      </c>
      <c r="AT214" s="54">
        <v>615836.75</v>
      </c>
      <c r="AU214" s="54">
        <v>694815.35583333333</v>
      </c>
      <c r="AV214" s="54">
        <v>394945.14399999997</v>
      </c>
      <c r="AW214" s="54">
        <v>1061967.8855999999</v>
      </c>
      <c r="AX214" s="54">
        <v>9.6148148148148156</v>
      </c>
      <c r="AY214" s="54">
        <v>7.3055555555555554</v>
      </c>
      <c r="AZ214" s="54">
        <v>3.6676470588235297</v>
      </c>
      <c r="BA214" s="54" t="s">
        <v>343</v>
      </c>
      <c r="BB214" s="54" t="s">
        <v>384</v>
      </c>
    </row>
    <row r="215" spans="1:54" x14ac:dyDescent="0.25">
      <c r="A215" s="54">
        <v>343</v>
      </c>
      <c r="B215" s="54">
        <v>2011</v>
      </c>
      <c r="C215" s="88" t="s">
        <v>81</v>
      </c>
      <c r="D215" s="54" t="s">
        <v>83</v>
      </c>
      <c r="E215" s="54" t="s">
        <v>77</v>
      </c>
      <c r="F215" s="54" t="str">
        <f>_xlfn.CONCAT(Table13[[#This Row],[Geographic Scope]],": ",Table13[[#This Row],[Sub-Type/Focus]])</f>
        <v>State: General</v>
      </c>
      <c r="G215" s="54" t="str">
        <f>_xlfn.CONCAT(Table13[[#This Row],[Geographic Scope]],": ",Table13[[#This Row],[Sub-Type/Focus]],": ",Table13[[#This Row],[Content Type]])</f>
        <v>State: General: Investigative</v>
      </c>
      <c r="H215" s="54" t="str">
        <f>_xlfn.CONCAT(Table13[[#This Row],[Geographic Scope]],": ",Table13[[#This Row],[Content Type]])</f>
        <v>State: Investigative</v>
      </c>
      <c r="I215" s="55">
        <v>1476760.098</v>
      </c>
      <c r="J215" s="55">
        <v>918840.63800000004</v>
      </c>
      <c r="K215" s="55">
        <v>1014399.0181818183</v>
      </c>
      <c r="L215" s="54">
        <v>522940.39699999988</v>
      </c>
      <c r="M215" s="54">
        <v>304355.33333333331</v>
      </c>
      <c r="N215" s="54">
        <v>342084.29249999998</v>
      </c>
      <c r="O215" s="54">
        <v>68598.361000000004</v>
      </c>
      <c r="P215" s="54">
        <v>49702.525999999998</v>
      </c>
      <c r="Q215" s="54">
        <v>223783.40549999996</v>
      </c>
      <c r="R215" s="54">
        <v>40813.2425</v>
      </c>
      <c r="S215" s="54">
        <v>501305</v>
      </c>
      <c r="T215" s="54">
        <v>258030</v>
      </c>
      <c r="U215" s="54">
        <v>661761.73333333328</v>
      </c>
      <c r="V215" s="54">
        <v>674937</v>
      </c>
      <c r="W215" s="54">
        <v>55800.5</v>
      </c>
      <c r="X215" s="54">
        <v>1061453.6000000001</v>
      </c>
      <c r="Y215" s="54">
        <v>962756.5135</v>
      </c>
      <c r="Z215" s="54">
        <v>361181.83250000002</v>
      </c>
      <c r="AA215" s="54">
        <v>1323938.3460000001</v>
      </c>
      <c r="AB215" s="54">
        <v>11.608695652173912</v>
      </c>
      <c r="AC215" s="54">
        <v>8.4130434782608692</v>
      </c>
      <c r="AD215" s="54">
        <v>5.25</v>
      </c>
      <c r="AE215" s="54">
        <v>1430480.5480000002</v>
      </c>
      <c r="AF215" s="54">
        <v>766813.45039999997</v>
      </c>
      <c r="AG215" s="54">
        <v>975981.02588235307</v>
      </c>
      <c r="AH215" s="54">
        <v>336452.80375000002</v>
      </c>
      <c r="AI215" s="54">
        <v>408926.20400000003</v>
      </c>
      <c r="AJ215" s="54">
        <v>350007.61600000004</v>
      </c>
      <c r="AK215" s="54">
        <v>134596.64920000004</v>
      </c>
      <c r="AL215" s="54">
        <v>40407.599999999999</v>
      </c>
      <c r="AM215" s="54">
        <v>175003.36679999999</v>
      </c>
      <c r="AN215" s="54">
        <v>50107.924999999996</v>
      </c>
      <c r="AO215" s="54">
        <v>743481.6</v>
      </c>
      <c r="AP215" s="54">
        <v>289910.64</v>
      </c>
      <c r="AQ215" s="54">
        <v>86295.495999999999</v>
      </c>
      <c r="AR215" s="54">
        <v>602544</v>
      </c>
      <c r="AS215" s="54">
        <v>94092.274285714288</v>
      </c>
      <c r="AT215" s="54">
        <v>615836.75</v>
      </c>
      <c r="AU215" s="54">
        <v>694815.35583333333</v>
      </c>
      <c r="AV215" s="54">
        <v>394945.14399999997</v>
      </c>
      <c r="AW215" s="54">
        <v>1061967.8855999999</v>
      </c>
      <c r="AX215" s="54">
        <v>9.6148148148148156</v>
      </c>
      <c r="AY215" s="54">
        <v>7.3055555555555554</v>
      </c>
      <c r="AZ215" s="54">
        <v>3.6676470588235297</v>
      </c>
      <c r="BA215" s="54" t="s">
        <v>343</v>
      </c>
      <c r="BB215" s="54" t="s">
        <v>391</v>
      </c>
    </row>
    <row r="216" spans="1:54" x14ac:dyDescent="0.25">
      <c r="A216" s="54">
        <v>377</v>
      </c>
      <c r="B216" s="54">
        <v>2011</v>
      </c>
      <c r="C216" s="88" t="s">
        <v>81</v>
      </c>
      <c r="D216" s="54" t="s">
        <v>83</v>
      </c>
      <c r="E216" s="54" t="s">
        <v>77</v>
      </c>
      <c r="F216" s="54" t="str">
        <f>_xlfn.CONCAT(Table13[[#This Row],[Geographic Scope]],": ",Table13[[#This Row],[Sub-Type/Focus]])</f>
        <v>State: General</v>
      </c>
      <c r="G216" s="54" t="str">
        <f>_xlfn.CONCAT(Table13[[#This Row],[Geographic Scope]],": ",Table13[[#This Row],[Sub-Type/Focus]],": ",Table13[[#This Row],[Content Type]])</f>
        <v>State: General: Investigative</v>
      </c>
      <c r="H216" s="54" t="str">
        <f>_xlfn.CONCAT(Table13[[#This Row],[Geographic Scope]],": ",Table13[[#This Row],[Content Type]])</f>
        <v>State: Investigative</v>
      </c>
      <c r="I216" s="55">
        <v>1476760.098</v>
      </c>
      <c r="J216" s="55">
        <v>918840.63800000004</v>
      </c>
      <c r="K216" s="55">
        <v>1014399.0181818183</v>
      </c>
      <c r="L216" s="54">
        <v>522940.39699999988</v>
      </c>
      <c r="M216" s="54">
        <v>304355.33333333331</v>
      </c>
      <c r="N216" s="54">
        <v>342084.29249999998</v>
      </c>
      <c r="O216" s="54">
        <v>68598.361000000004</v>
      </c>
      <c r="P216" s="54">
        <v>49702.525999999998</v>
      </c>
      <c r="Q216" s="54">
        <v>223783.40549999996</v>
      </c>
      <c r="R216" s="54">
        <v>40813.2425</v>
      </c>
      <c r="S216" s="54">
        <v>501305</v>
      </c>
      <c r="T216" s="54">
        <v>258030</v>
      </c>
      <c r="U216" s="54">
        <v>661761.73333333328</v>
      </c>
      <c r="V216" s="54">
        <v>674937</v>
      </c>
      <c r="W216" s="54">
        <v>55800.5</v>
      </c>
      <c r="X216" s="54">
        <v>1061453.6000000001</v>
      </c>
      <c r="Y216" s="54">
        <v>962756.5135</v>
      </c>
      <c r="Z216" s="54">
        <v>361181.83250000002</v>
      </c>
      <c r="AA216" s="54">
        <v>1323938.3460000001</v>
      </c>
      <c r="AB216" s="54">
        <v>11.608695652173912</v>
      </c>
      <c r="AC216" s="54">
        <v>8.4130434782608692</v>
      </c>
      <c r="AD216" s="54">
        <v>5.25</v>
      </c>
      <c r="AE216" s="54">
        <v>1430480.5480000002</v>
      </c>
      <c r="AF216" s="54">
        <v>766813.45039999997</v>
      </c>
      <c r="AG216" s="54">
        <v>975981.02588235307</v>
      </c>
      <c r="AH216" s="54">
        <v>336452.80375000002</v>
      </c>
      <c r="AI216" s="54">
        <v>408926.20400000003</v>
      </c>
      <c r="AJ216" s="54">
        <v>350007.61600000004</v>
      </c>
      <c r="AK216" s="54">
        <v>134596.64920000004</v>
      </c>
      <c r="AL216" s="54">
        <v>40407.599999999999</v>
      </c>
      <c r="AM216" s="54">
        <v>175003.36679999999</v>
      </c>
      <c r="AN216" s="54">
        <v>50107.924999999996</v>
      </c>
      <c r="AO216" s="54">
        <v>743481.6</v>
      </c>
      <c r="AP216" s="54">
        <v>289910.64</v>
      </c>
      <c r="AQ216" s="54">
        <v>86295.495999999999</v>
      </c>
      <c r="AR216" s="54">
        <v>602544</v>
      </c>
      <c r="AS216" s="54">
        <v>94092.274285714288</v>
      </c>
      <c r="AT216" s="54">
        <v>615836.75</v>
      </c>
      <c r="AU216" s="54">
        <v>694815.35583333333</v>
      </c>
      <c r="AV216" s="54">
        <v>394945.14399999997</v>
      </c>
      <c r="AW216" s="54">
        <v>1061967.8855999999</v>
      </c>
      <c r="AX216" s="54">
        <v>9.6148148148148156</v>
      </c>
      <c r="AY216" s="54">
        <v>7.3055555555555554</v>
      </c>
      <c r="AZ216" s="54">
        <v>3.6676470588235297</v>
      </c>
      <c r="BA216" s="54" t="s">
        <v>343</v>
      </c>
      <c r="BB216" s="54" t="s">
        <v>392</v>
      </c>
    </row>
    <row r="217" spans="1:54" x14ac:dyDescent="0.25">
      <c r="A217" s="54">
        <v>398</v>
      </c>
      <c r="B217" s="54">
        <v>2013</v>
      </c>
      <c r="C217" s="88" t="s">
        <v>81</v>
      </c>
      <c r="D217" s="54" t="s">
        <v>83</v>
      </c>
      <c r="E217" s="54" t="s">
        <v>77</v>
      </c>
      <c r="F217" s="54" t="str">
        <f>_xlfn.CONCAT(Table13[[#This Row],[Geographic Scope]],": ",Table13[[#This Row],[Sub-Type/Focus]])</f>
        <v>State: General</v>
      </c>
      <c r="G217" s="54" t="str">
        <f>_xlfn.CONCAT(Table13[[#This Row],[Geographic Scope]],": ",Table13[[#This Row],[Sub-Type/Focus]],": ",Table13[[#This Row],[Content Type]])</f>
        <v>State: General: Investigative</v>
      </c>
      <c r="H217" s="54" t="str">
        <f>_xlfn.CONCAT(Table13[[#This Row],[Geographic Scope]],": ",Table13[[#This Row],[Content Type]])</f>
        <v>State: Investigative</v>
      </c>
      <c r="I217" s="55">
        <v>1476760.098</v>
      </c>
      <c r="J217" s="55">
        <v>918840.63800000004</v>
      </c>
      <c r="K217" s="55">
        <v>1014399.0181818183</v>
      </c>
      <c r="L217" s="54">
        <v>522940.39699999988</v>
      </c>
      <c r="M217" s="54">
        <v>304355.33333333331</v>
      </c>
      <c r="N217" s="54">
        <v>342084.29249999998</v>
      </c>
      <c r="O217" s="54">
        <v>68598.361000000004</v>
      </c>
      <c r="P217" s="54">
        <v>49702.525999999998</v>
      </c>
      <c r="Q217" s="54">
        <v>223783.40549999996</v>
      </c>
      <c r="R217" s="54">
        <v>40813.2425</v>
      </c>
      <c r="S217" s="54">
        <v>501305</v>
      </c>
      <c r="T217" s="54">
        <v>258030</v>
      </c>
      <c r="U217" s="54">
        <v>661761.73333333328</v>
      </c>
      <c r="V217" s="54">
        <v>674937</v>
      </c>
      <c r="W217" s="54">
        <v>55800.5</v>
      </c>
      <c r="X217" s="54">
        <v>1061453.6000000001</v>
      </c>
      <c r="Y217" s="54">
        <v>962756.5135</v>
      </c>
      <c r="Z217" s="54">
        <v>361181.83250000002</v>
      </c>
      <c r="AA217" s="54">
        <v>1323938.3460000001</v>
      </c>
      <c r="AB217" s="54">
        <v>11.608695652173912</v>
      </c>
      <c r="AC217" s="54">
        <v>8.4130434782608692</v>
      </c>
      <c r="AD217" s="54">
        <v>5.25</v>
      </c>
      <c r="AE217" s="54">
        <v>1430480.5480000002</v>
      </c>
      <c r="AF217" s="54">
        <v>766813.45039999997</v>
      </c>
      <c r="AG217" s="54">
        <v>975981.02588235307</v>
      </c>
      <c r="AH217" s="54">
        <v>336452.80375000002</v>
      </c>
      <c r="AI217" s="54">
        <v>408926.20400000003</v>
      </c>
      <c r="AJ217" s="54">
        <v>350007.61600000004</v>
      </c>
      <c r="AK217" s="54">
        <v>134596.64920000004</v>
      </c>
      <c r="AL217" s="54">
        <v>40407.599999999999</v>
      </c>
      <c r="AM217" s="54">
        <v>175003.36679999999</v>
      </c>
      <c r="AN217" s="54">
        <v>50107.924999999996</v>
      </c>
      <c r="AO217" s="54">
        <v>743481.6</v>
      </c>
      <c r="AP217" s="54">
        <v>289910.64</v>
      </c>
      <c r="AQ217" s="54">
        <v>86295.495999999999</v>
      </c>
      <c r="AR217" s="54">
        <v>602544</v>
      </c>
      <c r="AS217" s="54">
        <v>94092.274285714288</v>
      </c>
      <c r="AT217" s="54">
        <v>615836.75</v>
      </c>
      <c r="AU217" s="54">
        <v>694815.35583333333</v>
      </c>
      <c r="AV217" s="54">
        <v>394945.14399999997</v>
      </c>
      <c r="AW217" s="54">
        <v>1061967.8855999999</v>
      </c>
      <c r="AX217" s="54">
        <v>9.6148148148148156</v>
      </c>
      <c r="AY217" s="54">
        <v>7.3055555555555554</v>
      </c>
      <c r="AZ217" s="54">
        <v>3.6676470588235297</v>
      </c>
      <c r="BA217" s="54" t="s">
        <v>373</v>
      </c>
      <c r="BB217" s="54" t="s">
        <v>352</v>
      </c>
    </row>
    <row r="218" spans="1:54" x14ac:dyDescent="0.25">
      <c r="A218" s="54">
        <v>415</v>
      </c>
      <c r="B218" s="54">
        <v>2016</v>
      </c>
      <c r="C218" s="88" t="s">
        <v>81</v>
      </c>
      <c r="D218" s="54" t="s">
        <v>83</v>
      </c>
      <c r="E218" s="54" t="s">
        <v>77</v>
      </c>
      <c r="F218" s="54" t="str">
        <f>_xlfn.CONCAT(Table13[[#This Row],[Geographic Scope]],": ",Table13[[#This Row],[Sub-Type/Focus]])</f>
        <v>State: General</v>
      </c>
      <c r="G218" s="54" t="str">
        <f>_xlfn.CONCAT(Table13[[#This Row],[Geographic Scope]],": ",Table13[[#This Row],[Sub-Type/Focus]],": ",Table13[[#This Row],[Content Type]])</f>
        <v>State: General: Investigative</v>
      </c>
      <c r="H218" s="54" t="str">
        <f>_xlfn.CONCAT(Table13[[#This Row],[Geographic Scope]],": ",Table13[[#This Row],[Content Type]])</f>
        <v>State: Investigative</v>
      </c>
      <c r="I218" s="55">
        <v>1476760.098</v>
      </c>
      <c r="J218" s="55">
        <v>918840.63800000004</v>
      </c>
      <c r="K218" s="55">
        <v>1014399.0181818183</v>
      </c>
      <c r="L218" s="54">
        <v>522940.39699999988</v>
      </c>
      <c r="M218" s="54">
        <v>304355.33333333331</v>
      </c>
      <c r="N218" s="54">
        <v>342084.29249999998</v>
      </c>
      <c r="O218" s="54">
        <v>68598.361000000004</v>
      </c>
      <c r="P218" s="54">
        <v>49702.525999999998</v>
      </c>
      <c r="Q218" s="54">
        <v>223783.40549999996</v>
      </c>
      <c r="R218" s="54">
        <v>40813.2425</v>
      </c>
      <c r="S218" s="54">
        <v>501305</v>
      </c>
      <c r="T218" s="54">
        <v>258030</v>
      </c>
      <c r="U218" s="54">
        <v>661761.73333333328</v>
      </c>
      <c r="V218" s="54">
        <v>674937</v>
      </c>
      <c r="W218" s="54">
        <v>55800.5</v>
      </c>
      <c r="X218" s="54">
        <v>1061453.6000000001</v>
      </c>
      <c r="Y218" s="54">
        <v>962756.5135</v>
      </c>
      <c r="Z218" s="54">
        <v>361181.83250000002</v>
      </c>
      <c r="AA218" s="54">
        <v>1323938.3460000001</v>
      </c>
      <c r="AB218" s="54">
        <v>11.608695652173912</v>
      </c>
      <c r="AC218" s="54">
        <v>8.4130434782608692</v>
      </c>
      <c r="AD218" s="54">
        <v>5.25</v>
      </c>
      <c r="AE218" s="54">
        <v>1430480.5480000002</v>
      </c>
      <c r="AF218" s="54">
        <v>766813.45039999997</v>
      </c>
      <c r="AG218" s="54">
        <v>975981.02588235307</v>
      </c>
      <c r="AH218" s="54">
        <v>336452.80375000002</v>
      </c>
      <c r="AI218" s="54">
        <v>408926.20400000003</v>
      </c>
      <c r="AJ218" s="54">
        <v>350007.61600000004</v>
      </c>
      <c r="AK218" s="54">
        <v>134596.64920000004</v>
      </c>
      <c r="AL218" s="54">
        <v>40407.599999999999</v>
      </c>
      <c r="AM218" s="54">
        <v>175003.36679999999</v>
      </c>
      <c r="AN218" s="54">
        <v>50107.924999999996</v>
      </c>
      <c r="AO218" s="54">
        <v>743481.6</v>
      </c>
      <c r="AP218" s="54">
        <v>289910.64</v>
      </c>
      <c r="AQ218" s="54">
        <v>86295.495999999999</v>
      </c>
      <c r="AR218" s="54">
        <v>602544</v>
      </c>
      <c r="AS218" s="54">
        <v>94092.274285714288</v>
      </c>
      <c r="AT218" s="54">
        <v>615836.75</v>
      </c>
      <c r="AU218" s="54">
        <v>694815.35583333333</v>
      </c>
      <c r="AV218" s="54">
        <v>394945.14399999997</v>
      </c>
      <c r="AW218" s="54">
        <v>1061967.8855999999</v>
      </c>
      <c r="AX218" s="54">
        <v>9.6148148148148156</v>
      </c>
      <c r="AY218" s="54">
        <v>7.3055555555555554</v>
      </c>
      <c r="AZ218" s="54">
        <v>3.6676470588235297</v>
      </c>
      <c r="BA218" s="54" t="s">
        <v>342</v>
      </c>
      <c r="BB218" s="54" t="s">
        <v>349</v>
      </c>
    </row>
    <row r="219" spans="1:54" x14ac:dyDescent="0.25">
      <c r="A219" s="54">
        <v>434</v>
      </c>
      <c r="B219" s="54">
        <v>2011</v>
      </c>
      <c r="C219" s="88" t="s">
        <v>81</v>
      </c>
      <c r="D219" s="54" t="s">
        <v>83</v>
      </c>
      <c r="E219" s="54" t="s">
        <v>77</v>
      </c>
      <c r="F219" s="54" t="str">
        <f>_xlfn.CONCAT(Table13[[#This Row],[Geographic Scope]],": ",Table13[[#This Row],[Sub-Type/Focus]])</f>
        <v>State: General</v>
      </c>
      <c r="G219" s="54" t="str">
        <f>_xlfn.CONCAT(Table13[[#This Row],[Geographic Scope]],": ",Table13[[#This Row],[Sub-Type/Focus]],": ",Table13[[#This Row],[Content Type]])</f>
        <v>State: General: Investigative</v>
      </c>
      <c r="H219" s="54" t="str">
        <f>_xlfn.CONCAT(Table13[[#This Row],[Geographic Scope]],": ",Table13[[#This Row],[Content Type]])</f>
        <v>State: Investigative</v>
      </c>
      <c r="I219" s="55">
        <v>1476760.098</v>
      </c>
      <c r="J219" s="55">
        <v>918840.63800000004</v>
      </c>
      <c r="K219" s="55">
        <v>1014399.0181818183</v>
      </c>
      <c r="L219" s="54">
        <v>522940.39699999988</v>
      </c>
      <c r="M219" s="54">
        <v>304355.33333333331</v>
      </c>
      <c r="N219" s="54">
        <v>342084.29249999998</v>
      </c>
      <c r="O219" s="54">
        <v>68598.361000000004</v>
      </c>
      <c r="P219" s="54">
        <v>49702.525999999998</v>
      </c>
      <c r="Q219" s="54">
        <v>223783.40549999996</v>
      </c>
      <c r="R219" s="54">
        <v>40813.2425</v>
      </c>
      <c r="S219" s="54">
        <v>501305</v>
      </c>
      <c r="T219" s="54">
        <v>258030</v>
      </c>
      <c r="U219" s="54">
        <v>661761.73333333328</v>
      </c>
      <c r="V219" s="54">
        <v>674937</v>
      </c>
      <c r="W219" s="54">
        <v>55800.5</v>
      </c>
      <c r="X219" s="54">
        <v>1061453.6000000001</v>
      </c>
      <c r="Y219" s="54">
        <v>962756.5135</v>
      </c>
      <c r="Z219" s="54">
        <v>361181.83250000002</v>
      </c>
      <c r="AA219" s="54">
        <v>1323938.3460000001</v>
      </c>
      <c r="AB219" s="54">
        <v>11.608695652173912</v>
      </c>
      <c r="AC219" s="54">
        <v>8.4130434782608692</v>
      </c>
      <c r="AD219" s="54">
        <v>5.25</v>
      </c>
      <c r="AE219" s="54">
        <v>1430480.5480000002</v>
      </c>
      <c r="AF219" s="54">
        <v>766813.45039999997</v>
      </c>
      <c r="AG219" s="54">
        <v>975981.02588235307</v>
      </c>
      <c r="AH219" s="54">
        <v>336452.80375000002</v>
      </c>
      <c r="AI219" s="54">
        <v>408926.20400000003</v>
      </c>
      <c r="AJ219" s="54">
        <v>350007.61600000004</v>
      </c>
      <c r="AK219" s="54">
        <v>134596.64920000004</v>
      </c>
      <c r="AL219" s="54">
        <v>40407.599999999999</v>
      </c>
      <c r="AM219" s="54">
        <v>175003.36679999999</v>
      </c>
      <c r="AN219" s="54">
        <v>50107.924999999996</v>
      </c>
      <c r="AO219" s="54">
        <v>743481.6</v>
      </c>
      <c r="AP219" s="54">
        <v>289910.64</v>
      </c>
      <c r="AQ219" s="54">
        <v>86295.495999999999</v>
      </c>
      <c r="AR219" s="54">
        <v>602544</v>
      </c>
      <c r="AS219" s="54">
        <v>94092.274285714288</v>
      </c>
      <c r="AT219" s="54">
        <v>615836.75</v>
      </c>
      <c r="AU219" s="54">
        <v>694815.35583333333</v>
      </c>
      <c r="AV219" s="54">
        <v>394945.14399999997</v>
      </c>
      <c r="AW219" s="54">
        <v>1061967.8855999999</v>
      </c>
      <c r="AX219" s="54">
        <v>9.6148148148148156</v>
      </c>
      <c r="AY219" s="54">
        <v>7.3055555555555554</v>
      </c>
      <c r="AZ219" s="54">
        <v>3.6676470588235297</v>
      </c>
      <c r="BA219" s="54" t="s">
        <v>342</v>
      </c>
    </row>
    <row r="220" spans="1:54" x14ac:dyDescent="0.25">
      <c r="A220" s="54">
        <v>490</v>
      </c>
      <c r="B220" s="54">
        <v>2017</v>
      </c>
      <c r="C220" s="88" t="s">
        <v>81</v>
      </c>
      <c r="D220" s="54" t="s">
        <v>83</v>
      </c>
      <c r="E220" s="54" t="s">
        <v>77</v>
      </c>
      <c r="F220" s="54" t="str">
        <f>_xlfn.CONCAT(Table13[[#This Row],[Geographic Scope]],": ",Table13[[#This Row],[Sub-Type/Focus]])</f>
        <v>State: General</v>
      </c>
      <c r="G220" s="54" t="str">
        <f>_xlfn.CONCAT(Table13[[#This Row],[Geographic Scope]],": ",Table13[[#This Row],[Sub-Type/Focus]],": ",Table13[[#This Row],[Content Type]])</f>
        <v>State: General: Investigative</v>
      </c>
      <c r="H220" s="54" t="str">
        <f>_xlfn.CONCAT(Table13[[#This Row],[Geographic Scope]],": ",Table13[[#This Row],[Content Type]])</f>
        <v>State: Investigative</v>
      </c>
      <c r="I220" s="55">
        <v>1476760.098</v>
      </c>
      <c r="J220" s="55">
        <v>918840.63800000004</v>
      </c>
      <c r="K220" s="55">
        <v>1014399.0181818183</v>
      </c>
      <c r="L220" s="54">
        <v>522940.39699999988</v>
      </c>
      <c r="M220" s="54">
        <v>304355.33333333331</v>
      </c>
      <c r="N220" s="54">
        <v>342084.29249999998</v>
      </c>
      <c r="O220" s="54">
        <v>68598.361000000004</v>
      </c>
      <c r="P220" s="54">
        <v>49702.525999999998</v>
      </c>
      <c r="Q220" s="54">
        <v>223783.40549999996</v>
      </c>
      <c r="R220" s="54">
        <v>40813.2425</v>
      </c>
      <c r="S220" s="54">
        <v>501305</v>
      </c>
      <c r="T220" s="54">
        <v>258030</v>
      </c>
      <c r="U220" s="54">
        <v>661761.73333333328</v>
      </c>
      <c r="V220" s="54">
        <v>674937</v>
      </c>
      <c r="W220" s="54">
        <v>55800.5</v>
      </c>
      <c r="X220" s="54">
        <v>1061453.6000000001</v>
      </c>
      <c r="Y220" s="54">
        <v>962756.5135</v>
      </c>
      <c r="Z220" s="54">
        <v>361181.83250000002</v>
      </c>
      <c r="AA220" s="54">
        <v>1323938.3460000001</v>
      </c>
      <c r="AB220" s="54">
        <v>11.608695652173912</v>
      </c>
      <c r="AC220" s="54">
        <v>8.4130434782608692</v>
      </c>
      <c r="AD220" s="54">
        <v>5.25</v>
      </c>
      <c r="AE220" s="54">
        <v>1430480.5480000002</v>
      </c>
      <c r="AF220" s="54">
        <v>766813.45039999997</v>
      </c>
      <c r="AG220" s="54">
        <v>975981.02588235307</v>
      </c>
      <c r="AH220" s="54">
        <v>336452.80375000002</v>
      </c>
      <c r="AI220" s="54">
        <v>408926.20400000003</v>
      </c>
      <c r="AJ220" s="54">
        <v>350007.61600000004</v>
      </c>
      <c r="AK220" s="54">
        <v>134596.64920000004</v>
      </c>
      <c r="AL220" s="54">
        <v>40407.599999999999</v>
      </c>
      <c r="AM220" s="54">
        <v>175003.36679999999</v>
      </c>
      <c r="AN220" s="54">
        <v>50107.924999999996</v>
      </c>
      <c r="AO220" s="54">
        <v>743481.6</v>
      </c>
      <c r="AP220" s="54">
        <v>289910.64</v>
      </c>
      <c r="AQ220" s="54">
        <v>86295.495999999999</v>
      </c>
      <c r="AR220" s="54">
        <v>602544</v>
      </c>
      <c r="AS220" s="54">
        <v>94092.274285714288</v>
      </c>
      <c r="AT220" s="54">
        <v>615836.75</v>
      </c>
      <c r="AU220" s="54">
        <v>694815.35583333333</v>
      </c>
      <c r="AV220" s="54">
        <v>394945.14399999997</v>
      </c>
      <c r="AW220" s="54">
        <v>1061967.8855999999</v>
      </c>
      <c r="AX220" s="54">
        <v>9.6148148148148156</v>
      </c>
      <c r="AY220" s="54">
        <v>7.3055555555555554</v>
      </c>
      <c r="AZ220" s="54">
        <v>3.6676470588235297</v>
      </c>
      <c r="BA220" s="54" t="s">
        <v>342</v>
      </c>
      <c r="BB220" s="54" t="s">
        <v>349</v>
      </c>
    </row>
    <row r="221" spans="1:54" x14ac:dyDescent="0.25">
      <c r="A221" s="54">
        <v>515</v>
      </c>
      <c r="B221" s="54">
        <v>2008</v>
      </c>
      <c r="C221" s="88" t="s">
        <v>81</v>
      </c>
      <c r="D221" s="54" t="s">
        <v>83</v>
      </c>
      <c r="E221" s="54" t="s">
        <v>77</v>
      </c>
      <c r="F221" s="54" t="str">
        <f>_xlfn.CONCAT(Table13[[#This Row],[Geographic Scope]],": ",Table13[[#This Row],[Sub-Type/Focus]])</f>
        <v>State: General</v>
      </c>
      <c r="G221" s="54" t="str">
        <f>_xlfn.CONCAT(Table13[[#This Row],[Geographic Scope]],": ",Table13[[#This Row],[Sub-Type/Focus]],": ",Table13[[#This Row],[Content Type]])</f>
        <v>State: General: Investigative</v>
      </c>
      <c r="H221" s="54" t="str">
        <f>_xlfn.CONCAT(Table13[[#This Row],[Geographic Scope]],": ",Table13[[#This Row],[Content Type]])</f>
        <v>State: Investigative</v>
      </c>
      <c r="I221" s="55">
        <v>1476760.098</v>
      </c>
      <c r="J221" s="55">
        <v>918840.63800000004</v>
      </c>
      <c r="K221" s="55">
        <v>1014399.0181818183</v>
      </c>
      <c r="L221" s="54">
        <v>522940.39699999988</v>
      </c>
      <c r="M221" s="54">
        <v>304355.33333333331</v>
      </c>
      <c r="N221" s="54">
        <v>342084.29249999998</v>
      </c>
      <c r="O221" s="54">
        <v>68598.361000000004</v>
      </c>
      <c r="P221" s="54">
        <v>49702.525999999998</v>
      </c>
      <c r="Q221" s="54">
        <v>223783.40549999996</v>
      </c>
      <c r="R221" s="54">
        <v>40813.2425</v>
      </c>
      <c r="S221" s="54">
        <v>501305</v>
      </c>
      <c r="T221" s="54">
        <v>258030</v>
      </c>
      <c r="U221" s="54">
        <v>661761.73333333328</v>
      </c>
      <c r="V221" s="54">
        <v>674937</v>
      </c>
      <c r="W221" s="54">
        <v>55800.5</v>
      </c>
      <c r="X221" s="54">
        <v>1061453.6000000001</v>
      </c>
      <c r="Y221" s="54">
        <v>962756.5135</v>
      </c>
      <c r="Z221" s="54">
        <v>361181.83250000002</v>
      </c>
      <c r="AA221" s="54">
        <v>1323938.3460000001</v>
      </c>
      <c r="AB221" s="54">
        <v>11.608695652173912</v>
      </c>
      <c r="AC221" s="54">
        <v>8.4130434782608692</v>
      </c>
      <c r="AD221" s="54">
        <v>5.25</v>
      </c>
      <c r="AE221" s="54">
        <v>1430480.5480000002</v>
      </c>
      <c r="AF221" s="54">
        <v>766813.45039999997</v>
      </c>
      <c r="AG221" s="54">
        <v>975981.02588235307</v>
      </c>
      <c r="AH221" s="54">
        <v>336452.80375000002</v>
      </c>
      <c r="AI221" s="54">
        <v>408926.20400000003</v>
      </c>
      <c r="AJ221" s="54">
        <v>350007.61600000004</v>
      </c>
      <c r="AK221" s="54">
        <v>134596.64920000004</v>
      </c>
      <c r="AL221" s="54">
        <v>40407.599999999999</v>
      </c>
      <c r="AM221" s="54">
        <v>175003.36679999999</v>
      </c>
      <c r="AN221" s="54">
        <v>50107.924999999996</v>
      </c>
      <c r="AO221" s="54">
        <v>743481.6</v>
      </c>
      <c r="AP221" s="54">
        <v>289910.64</v>
      </c>
      <c r="AQ221" s="54">
        <v>86295.495999999999</v>
      </c>
      <c r="AR221" s="54">
        <v>602544</v>
      </c>
      <c r="AS221" s="54">
        <v>94092.274285714288</v>
      </c>
      <c r="AT221" s="54">
        <v>615836.75</v>
      </c>
      <c r="AU221" s="54">
        <v>694815.35583333333</v>
      </c>
      <c r="AV221" s="54">
        <v>394945.14399999997</v>
      </c>
      <c r="AW221" s="54">
        <v>1061967.8855999999</v>
      </c>
      <c r="AX221" s="54">
        <v>9.6148148148148156</v>
      </c>
      <c r="AY221" s="54">
        <v>7.3055555555555554</v>
      </c>
      <c r="AZ221" s="54">
        <v>3.6676470588235297</v>
      </c>
      <c r="BA221" s="54" t="s">
        <v>342</v>
      </c>
    </row>
    <row r="222" spans="1:54" x14ac:dyDescent="0.25">
      <c r="A222" s="54">
        <v>2903</v>
      </c>
      <c r="B222" s="54">
        <v>2018</v>
      </c>
      <c r="C222" s="88" t="s">
        <v>81</v>
      </c>
      <c r="D222" s="54" t="s">
        <v>83</v>
      </c>
      <c r="E222" s="54" t="s">
        <v>77</v>
      </c>
      <c r="F222" s="54" t="str">
        <f>_xlfn.CONCAT(Table13[[#This Row],[Geographic Scope]],": ",Table13[[#This Row],[Sub-Type/Focus]])</f>
        <v>State: General</v>
      </c>
      <c r="G222" s="54" t="str">
        <f>_xlfn.CONCAT(Table13[[#This Row],[Geographic Scope]],": ",Table13[[#This Row],[Sub-Type/Focus]],": ",Table13[[#This Row],[Content Type]])</f>
        <v>State: General: Investigative</v>
      </c>
      <c r="H222" s="54" t="str">
        <f>_xlfn.CONCAT(Table13[[#This Row],[Geographic Scope]],": ",Table13[[#This Row],[Content Type]])</f>
        <v>State: Investigative</v>
      </c>
      <c r="I222" s="55">
        <v>1476760.098</v>
      </c>
      <c r="J222" s="55">
        <v>918840.63800000004</v>
      </c>
      <c r="K222" s="55">
        <v>1014399.0181818183</v>
      </c>
      <c r="L222" s="54">
        <v>522940.39699999988</v>
      </c>
      <c r="M222" s="54">
        <v>304355.33333333331</v>
      </c>
      <c r="N222" s="54">
        <v>342084.29249999998</v>
      </c>
      <c r="O222" s="54">
        <v>68598.361000000004</v>
      </c>
      <c r="P222" s="54">
        <v>49702.525999999998</v>
      </c>
      <c r="Q222" s="54">
        <v>223783.40549999996</v>
      </c>
      <c r="R222" s="54">
        <v>40813.2425</v>
      </c>
      <c r="S222" s="54">
        <v>501305</v>
      </c>
      <c r="T222" s="54">
        <v>258030</v>
      </c>
      <c r="U222" s="54">
        <v>661761.73333333328</v>
      </c>
      <c r="V222" s="54">
        <v>674937</v>
      </c>
      <c r="W222" s="54">
        <v>55800.5</v>
      </c>
      <c r="X222" s="54">
        <v>1061453.6000000001</v>
      </c>
      <c r="Y222" s="54">
        <v>962756.5135</v>
      </c>
      <c r="Z222" s="54">
        <v>361181.83250000002</v>
      </c>
      <c r="AA222" s="54">
        <v>1323938.3460000001</v>
      </c>
      <c r="AB222" s="54">
        <v>11.608695652173912</v>
      </c>
      <c r="AC222" s="54">
        <v>8.4130434782608692</v>
      </c>
      <c r="AD222" s="54">
        <v>5.25</v>
      </c>
      <c r="AE222" s="54">
        <v>1430480.5480000002</v>
      </c>
      <c r="AF222" s="54">
        <v>766813.45039999997</v>
      </c>
      <c r="AG222" s="54">
        <v>975981.02588235307</v>
      </c>
      <c r="AH222" s="54">
        <v>336452.80375000002</v>
      </c>
      <c r="AI222" s="54">
        <v>408926.20400000003</v>
      </c>
      <c r="AJ222" s="54">
        <v>350007.61600000004</v>
      </c>
      <c r="AK222" s="54">
        <v>134596.64920000004</v>
      </c>
      <c r="AL222" s="54">
        <v>40407.599999999999</v>
      </c>
      <c r="AM222" s="54">
        <v>175003.36679999999</v>
      </c>
      <c r="AN222" s="54">
        <v>50107.924999999996</v>
      </c>
      <c r="AO222" s="54">
        <v>743481.6</v>
      </c>
      <c r="AP222" s="54">
        <v>289910.64</v>
      </c>
      <c r="AQ222" s="54">
        <v>86295.495999999999</v>
      </c>
      <c r="AR222" s="54">
        <v>602544</v>
      </c>
      <c r="AS222" s="54">
        <v>94092.274285714288</v>
      </c>
      <c r="AT222" s="54">
        <v>615836.75</v>
      </c>
      <c r="AU222" s="54">
        <v>694815.35583333333</v>
      </c>
      <c r="AV222" s="54">
        <v>394945.14399999997</v>
      </c>
      <c r="AW222" s="54">
        <v>1061967.8855999999</v>
      </c>
      <c r="AX222" s="54">
        <v>9.6148148148148156</v>
      </c>
      <c r="AY222" s="54">
        <v>7.3055555555555554</v>
      </c>
      <c r="AZ222" s="54">
        <v>3.6676470588235297</v>
      </c>
      <c r="BA222" s="54" t="s">
        <v>342</v>
      </c>
      <c r="BB222" s="54" t="s">
        <v>349</v>
      </c>
    </row>
    <row r="223" spans="1:54" x14ac:dyDescent="0.25">
      <c r="A223" s="54">
        <v>2990</v>
      </c>
      <c r="B223" s="54">
        <v>1871</v>
      </c>
      <c r="C223" s="88" t="s">
        <v>81</v>
      </c>
      <c r="D223" s="54" t="s">
        <v>83</v>
      </c>
      <c r="E223" s="54" t="s">
        <v>77</v>
      </c>
      <c r="F223" s="54" t="str">
        <f>_xlfn.CONCAT(Table13[[#This Row],[Geographic Scope]],": ",Table13[[#This Row],[Sub-Type/Focus]])</f>
        <v>State: General</v>
      </c>
      <c r="G223" s="54" t="str">
        <f>_xlfn.CONCAT(Table13[[#This Row],[Geographic Scope]],": ",Table13[[#This Row],[Sub-Type/Focus]],": ",Table13[[#This Row],[Content Type]])</f>
        <v>State: General: Investigative</v>
      </c>
      <c r="H223" s="54" t="str">
        <f>_xlfn.CONCAT(Table13[[#This Row],[Geographic Scope]],": ",Table13[[#This Row],[Content Type]])</f>
        <v>State: Investigative</v>
      </c>
      <c r="I223" s="55">
        <v>1476760.098</v>
      </c>
      <c r="J223" s="55">
        <v>918840.63800000004</v>
      </c>
      <c r="K223" s="55">
        <v>1014399.0181818183</v>
      </c>
      <c r="L223" s="54">
        <v>522940.39699999988</v>
      </c>
      <c r="M223" s="54">
        <v>304355.33333333331</v>
      </c>
      <c r="N223" s="54">
        <v>342084.29249999998</v>
      </c>
      <c r="O223" s="54">
        <v>68598.361000000004</v>
      </c>
      <c r="P223" s="54">
        <v>49702.525999999998</v>
      </c>
      <c r="Q223" s="54">
        <v>223783.40549999996</v>
      </c>
      <c r="R223" s="54">
        <v>40813.2425</v>
      </c>
      <c r="S223" s="54">
        <v>501305</v>
      </c>
      <c r="T223" s="54">
        <v>258030</v>
      </c>
      <c r="U223" s="54">
        <v>661761.73333333328</v>
      </c>
      <c r="V223" s="54">
        <v>674937</v>
      </c>
      <c r="W223" s="54">
        <v>55800.5</v>
      </c>
      <c r="X223" s="54">
        <v>1061453.6000000001</v>
      </c>
      <c r="Y223" s="54">
        <v>962756.5135</v>
      </c>
      <c r="Z223" s="54">
        <v>361181.83250000002</v>
      </c>
      <c r="AA223" s="54">
        <v>1323938.3460000001</v>
      </c>
      <c r="AB223" s="54">
        <v>11.608695652173912</v>
      </c>
      <c r="AC223" s="54">
        <v>8.4130434782608692</v>
      </c>
      <c r="AD223" s="54">
        <v>5.25</v>
      </c>
      <c r="AE223" s="54">
        <v>1430480.5480000002</v>
      </c>
      <c r="AF223" s="54">
        <v>766813.45039999997</v>
      </c>
      <c r="AG223" s="54">
        <v>975981.02588235307</v>
      </c>
      <c r="AH223" s="54">
        <v>336452.80375000002</v>
      </c>
      <c r="AI223" s="54">
        <v>408926.20400000003</v>
      </c>
      <c r="AJ223" s="54">
        <v>350007.61600000004</v>
      </c>
      <c r="AK223" s="54">
        <v>134596.64920000004</v>
      </c>
      <c r="AL223" s="54">
        <v>40407.599999999999</v>
      </c>
      <c r="AM223" s="54">
        <v>175003.36679999999</v>
      </c>
      <c r="AN223" s="54">
        <v>50107.924999999996</v>
      </c>
      <c r="AO223" s="54">
        <v>743481.6</v>
      </c>
      <c r="AP223" s="54">
        <v>289910.64</v>
      </c>
      <c r="AQ223" s="54">
        <v>86295.495999999999</v>
      </c>
      <c r="AR223" s="54">
        <v>602544</v>
      </c>
      <c r="AS223" s="54">
        <v>94092.274285714288</v>
      </c>
      <c r="AT223" s="54">
        <v>615836.75</v>
      </c>
      <c r="AU223" s="54">
        <v>694815.35583333333</v>
      </c>
      <c r="AV223" s="54">
        <v>394945.14399999997</v>
      </c>
      <c r="AW223" s="54">
        <v>1061967.8855999999</v>
      </c>
      <c r="AX223" s="54">
        <v>9.6148148148148156</v>
      </c>
      <c r="AY223" s="54">
        <v>7.3055555555555554</v>
      </c>
      <c r="AZ223" s="54">
        <v>3.6676470588235297</v>
      </c>
      <c r="BA223" s="54" t="s">
        <v>342</v>
      </c>
      <c r="BB223" s="54" t="s">
        <v>348</v>
      </c>
    </row>
    <row r="224" spans="1:54" x14ac:dyDescent="0.25">
      <c r="A224" s="54">
        <v>345</v>
      </c>
      <c r="B224" s="54">
        <v>2007</v>
      </c>
      <c r="C224" s="88" t="s">
        <v>81</v>
      </c>
      <c r="D224" s="54" t="s">
        <v>83</v>
      </c>
      <c r="E224" s="54" t="s">
        <v>78</v>
      </c>
      <c r="F224" s="54" t="str">
        <f>_xlfn.CONCAT(Table13[[#This Row],[Geographic Scope]],": ",Table13[[#This Row],[Sub-Type/Focus]])</f>
        <v>State: Multiple Related Topics</v>
      </c>
      <c r="G224" s="54" t="str">
        <f>_xlfn.CONCAT(Table13[[#This Row],[Geographic Scope]],": ",Table13[[#This Row],[Sub-Type/Focus]],": ",Table13[[#This Row],[Content Type]])</f>
        <v>State: Multiple Related Topics: Investigative</v>
      </c>
      <c r="H224" s="54" t="str">
        <f>_xlfn.CONCAT(Table13[[#This Row],[Geographic Scope]],": ",Table13[[#This Row],[Content Type]])</f>
        <v>State: Investigative</v>
      </c>
      <c r="I224" s="55">
        <v>1476760.098</v>
      </c>
      <c r="J224" s="55">
        <v>918840.63800000004</v>
      </c>
      <c r="K224" s="55">
        <v>1014399.0181818183</v>
      </c>
      <c r="L224" s="54">
        <v>522940.39699999988</v>
      </c>
      <c r="M224" s="54">
        <v>304355.33333333331</v>
      </c>
      <c r="N224" s="54">
        <v>342084.29249999998</v>
      </c>
      <c r="O224" s="54">
        <v>68598.361000000004</v>
      </c>
      <c r="P224" s="54">
        <v>49702.525999999998</v>
      </c>
      <c r="Q224" s="54">
        <v>223783.40549999996</v>
      </c>
      <c r="R224" s="54">
        <v>40813.2425</v>
      </c>
      <c r="S224" s="54">
        <v>501305</v>
      </c>
      <c r="T224" s="54">
        <v>258030</v>
      </c>
      <c r="U224" s="54">
        <v>661761.73333333328</v>
      </c>
      <c r="V224" s="54">
        <v>674937</v>
      </c>
      <c r="W224" s="54">
        <v>55800.5</v>
      </c>
      <c r="X224" s="54">
        <v>1061453.6000000001</v>
      </c>
      <c r="Y224" s="54">
        <v>962756.5135</v>
      </c>
      <c r="Z224" s="54">
        <v>361181.83250000002</v>
      </c>
      <c r="AA224" s="54">
        <v>1323938.3460000001</v>
      </c>
      <c r="AB224" s="54">
        <v>11.608695652173912</v>
      </c>
      <c r="AC224" s="54">
        <v>8.4130434782608692</v>
      </c>
      <c r="AD224" s="54">
        <v>5.25</v>
      </c>
      <c r="AE224" s="54">
        <v>1541170.3630434782</v>
      </c>
      <c r="AF224" s="54">
        <v>1346854.4286956524</v>
      </c>
      <c r="AG224" s="54">
        <v>279329.15562500001</v>
      </c>
      <c r="AH224" s="54">
        <v>633893.65956521744</v>
      </c>
      <c r="AI224" s="54">
        <v>237186.25</v>
      </c>
      <c r="AJ224" s="54">
        <v>655924.42260869569</v>
      </c>
      <c r="AK224" s="54">
        <v>237936.28086956521</v>
      </c>
      <c r="AL224" s="54">
        <v>52563.75304347826</v>
      </c>
      <c r="AM224" s="54">
        <v>365424.38869565213</v>
      </c>
      <c r="AN224" s="54">
        <v>45386.371249999997</v>
      </c>
      <c r="AO224" s="54">
        <v>74800.399999999994</v>
      </c>
      <c r="AP224" s="54">
        <v>169225.22222222222</v>
      </c>
      <c r="AQ224" s="54">
        <v>229109.72111111111</v>
      </c>
      <c r="AR224" s="54">
        <v>149874</v>
      </c>
      <c r="AS224" s="54">
        <v>46890.400000000001</v>
      </c>
      <c r="AT224" s="54">
        <v>17989.142857142859</v>
      </c>
      <c r="AU224" s="54">
        <v>835167.6508695652</v>
      </c>
      <c r="AV224" s="54">
        <v>568741.83956521738</v>
      </c>
      <c r="AW224" s="54">
        <v>1403909.4904347826</v>
      </c>
      <c r="AX224" s="54">
        <v>11.945384615384617</v>
      </c>
      <c r="AY224" s="54">
        <v>9.08</v>
      </c>
      <c r="AZ224" s="54">
        <v>4.65625</v>
      </c>
      <c r="BA224" s="54" t="s">
        <v>342</v>
      </c>
      <c r="BB224" s="54" t="s">
        <v>371</v>
      </c>
    </row>
    <row r="225" spans="1:54" x14ac:dyDescent="0.25">
      <c r="A225" s="54">
        <v>372</v>
      </c>
      <c r="B225" s="54">
        <v>2010</v>
      </c>
      <c r="C225" s="88" t="s">
        <v>81</v>
      </c>
      <c r="D225" s="54" t="s">
        <v>83</v>
      </c>
      <c r="E225" s="54" t="s">
        <v>78</v>
      </c>
      <c r="F225" s="54" t="str">
        <f>_xlfn.CONCAT(Table13[[#This Row],[Geographic Scope]],": ",Table13[[#This Row],[Sub-Type/Focus]])</f>
        <v>State: Multiple Related Topics</v>
      </c>
      <c r="G225" s="54" t="str">
        <f>_xlfn.CONCAT(Table13[[#This Row],[Geographic Scope]],": ",Table13[[#This Row],[Sub-Type/Focus]],": ",Table13[[#This Row],[Content Type]])</f>
        <v>State: Multiple Related Topics: Investigative</v>
      </c>
      <c r="H225" s="54" t="str">
        <f>_xlfn.CONCAT(Table13[[#This Row],[Geographic Scope]],": ",Table13[[#This Row],[Content Type]])</f>
        <v>State: Investigative</v>
      </c>
      <c r="I225" s="55">
        <v>1476760.098</v>
      </c>
      <c r="J225" s="55">
        <v>918840.63800000004</v>
      </c>
      <c r="K225" s="55">
        <v>1014399.0181818183</v>
      </c>
      <c r="L225" s="54">
        <v>522940.39699999988</v>
      </c>
      <c r="M225" s="54">
        <v>304355.33333333331</v>
      </c>
      <c r="N225" s="54">
        <v>342084.29249999998</v>
      </c>
      <c r="O225" s="54">
        <v>68598.361000000004</v>
      </c>
      <c r="P225" s="54">
        <v>49702.525999999998</v>
      </c>
      <c r="Q225" s="54">
        <v>223783.40549999996</v>
      </c>
      <c r="R225" s="54">
        <v>40813.2425</v>
      </c>
      <c r="S225" s="54">
        <v>501305</v>
      </c>
      <c r="T225" s="54">
        <v>258030</v>
      </c>
      <c r="U225" s="54">
        <v>661761.73333333328</v>
      </c>
      <c r="V225" s="54">
        <v>674937</v>
      </c>
      <c r="W225" s="54">
        <v>55800.5</v>
      </c>
      <c r="X225" s="54">
        <v>1061453.6000000001</v>
      </c>
      <c r="Y225" s="54">
        <v>962756.5135</v>
      </c>
      <c r="Z225" s="54">
        <v>361181.83250000002</v>
      </c>
      <c r="AA225" s="54">
        <v>1323938.3460000001</v>
      </c>
      <c r="AB225" s="54">
        <v>11.608695652173912</v>
      </c>
      <c r="AC225" s="54">
        <v>8.4130434782608692</v>
      </c>
      <c r="AD225" s="54">
        <v>5.25</v>
      </c>
      <c r="AE225" s="54">
        <v>1541170.3630434782</v>
      </c>
      <c r="AF225" s="54">
        <v>1346854.4286956524</v>
      </c>
      <c r="AG225" s="54">
        <v>279329.15562500001</v>
      </c>
      <c r="AH225" s="54">
        <v>633893.65956521744</v>
      </c>
      <c r="AI225" s="54">
        <v>237186.25</v>
      </c>
      <c r="AJ225" s="54">
        <v>655924.42260869569</v>
      </c>
      <c r="AK225" s="54">
        <v>237936.28086956521</v>
      </c>
      <c r="AL225" s="54">
        <v>52563.75304347826</v>
      </c>
      <c r="AM225" s="54">
        <v>365424.38869565213</v>
      </c>
      <c r="AN225" s="54">
        <v>45386.371249999997</v>
      </c>
      <c r="AO225" s="54">
        <v>74800.399999999994</v>
      </c>
      <c r="AP225" s="54">
        <v>169225.22222222222</v>
      </c>
      <c r="AQ225" s="54">
        <v>229109.72111111111</v>
      </c>
      <c r="AR225" s="54">
        <v>149874</v>
      </c>
      <c r="AS225" s="54">
        <v>46890.400000000001</v>
      </c>
      <c r="AT225" s="54">
        <v>17989.142857142859</v>
      </c>
      <c r="AU225" s="54">
        <v>835167.6508695652</v>
      </c>
      <c r="AV225" s="54">
        <v>568741.83956521738</v>
      </c>
      <c r="AW225" s="54">
        <v>1403909.4904347826</v>
      </c>
      <c r="AX225" s="54">
        <v>11.945384615384617</v>
      </c>
      <c r="AY225" s="54">
        <v>9.08</v>
      </c>
      <c r="AZ225" s="54">
        <v>4.65625</v>
      </c>
      <c r="BA225" s="54" t="s">
        <v>343</v>
      </c>
      <c r="BB225" s="54" t="s">
        <v>393</v>
      </c>
    </row>
    <row r="226" spans="1:54" x14ac:dyDescent="0.25">
      <c r="A226" s="54">
        <v>395</v>
      </c>
      <c r="B226" s="54">
        <v>2010</v>
      </c>
      <c r="C226" s="88" t="s">
        <v>81</v>
      </c>
      <c r="D226" s="54" t="s">
        <v>83</v>
      </c>
      <c r="E226" s="54" t="s">
        <v>78</v>
      </c>
      <c r="F226" s="54" t="str">
        <f>_xlfn.CONCAT(Table13[[#This Row],[Geographic Scope]],": ",Table13[[#This Row],[Sub-Type/Focus]])</f>
        <v>State: Multiple Related Topics</v>
      </c>
      <c r="G226" s="54" t="str">
        <f>_xlfn.CONCAT(Table13[[#This Row],[Geographic Scope]],": ",Table13[[#This Row],[Sub-Type/Focus]],": ",Table13[[#This Row],[Content Type]])</f>
        <v>State: Multiple Related Topics: Investigative</v>
      </c>
      <c r="H226" s="54" t="str">
        <f>_xlfn.CONCAT(Table13[[#This Row],[Geographic Scope]],": ",Table13[[#This Row],[Content Type]])</f>
        <v>State: Investigative</v>
      </c>
      <c r="I226" s="55">
        <v>1476760.098</v>
      </c>
      <c r="J226" s="55">
        <v>918840.63800000004</v>
      </c>
      <c r="K226" s="55">
        <v>1014399.0181818183</v>
      </c>
      <c r="L226" s="54">
        <v>522940.39699999988</v>
      </c>
      <c r="M226" s="54">
        <v>304355.33333333331</v>
      </c>
      <c r="N226" s="54">
        <v>342084.29249999998</v>
      </c>
      <c r="O226" s="54">
        <v>68598.361000000004</v>
      </c>
      <c r="P226" s="54">
        <v>49702.525999999998</v>
      </c>
      <c r="Q226" s="54">
        <v>223783.40549999996</v>
      </c>
      <c r="R226" s="54">
        <v>40813.2425</v>
      </c>
      <c r="S226" s="54">
        <v>501305</v>
      </c>
      <c r="T226" s="54">
        <v>258030</v>
      </c>
      <c r="U226" s="54">
        <v>661761.73333333328</v>
      </c>
      <c r="V226" s="54">
        <v>674937</v>
      </c>
      <c r="W226" s="54">
        <v>55800.5</v>
      </c>
      <c r="X226" s="54">
        <v>1061453.6000000001</v>
      </c>
      <c r="Y226" s="54">
        <v>962756.5135</v>
      </c>
      <c r="Z226" s="54">
        <v>361181.83250000002</v>
      </c>
      <c r="AA226" s="54">
        <v>1323938.3460000001</v>
      </c>
      <c r="AB226" s="54">
        <v>11.608695652173912</v>
      </c>
      <c r="AC226" s="54">
        <v>8.4130434782608692</v>
      </c>
      <c r="AD226" s="54">
        <v>5.25</v>
      </c>
      <c r="AE226" s="54">
        <v>1541170.3630434782</v>
      </c>
      <c r="AF226" s="54">
        <v>1346854.4286956524</v>
      </c>
      <c r="AG226" s="54">
        <v>279329.15562500001</v>
      </c>
      <c r="AH226" s="54">
        <v>633893.65956521744</v>
      </c>
      <c r="AI226" s="54">
        <v>237186.25</v>
      </c>
      <c r="AJ226" s="54">
        <v>655924.42260869569</v>
      </c>
      <c r="AK226" s="54">
        <v>237936.28086956521</v>
      </c>
      <c r="AL226" s="54">
        <v>52563.75304347826</v>
      </c>
      <c r="AM226" s="54">
        <v>365424.38869565213</v>
      </c>
      <c r="AN226" s="54">
        <v>45386.371249999997</v>
      </c>
      <c r="AO226" s="54">
        <v>74800.399999999994</v>
      </c>
      <c r="AP226" s="54">
        <v>169225.22222222222</v>
      </c>
      <c r="AQ226" s="54">
        <v>229109.72111111111</v>
      </c>
      <c r="AR226" s="54">
        <v>149874</v>
      </c>
      <c r="AS226" s="54">
        <v>46890.400000000001</v>
      </c>
      <c r="AT226" s="54">
        <v>17989.142857142859</v>
      </c>
      <c r="AU226" s="54">
        <v>835167.6508695652</v>
      </c>
      <c r="AV226" s="54">
        <v>568741.83956521738</v>
      </c>
      <c r="AW226" s="54">
        <v>1403909.4904347826</v>
      </c>
      <c r="AX226" s="54">
        <v>11.945384615384617</v>
      </c>
      <c r="AY226" s="54">
        <v>9.08</v>
      </c>
      <c r="AZ226" s="54">
        <v>4.65625</v>
      </c>
      <c r="BA226" s="54" t="s">
        <v>394</v>
      </c>
      <c r="BB226" s="54" t="s">
        <v>344</v>
      </c>
    </row>
    <row r="227" spans="1:54" x14ac:dyDescent="0.25">
      <c r="A227" s="54">
        <v>469</v>
      </c>
      <c r="B227" s="54">
        <v>2009</v>
      </c>
      <c r="C227" s="88" t="s">
        <v>81</v>
      </c>
      <c r="D227" s="54" t="s">
        <v>83</v>
      </c>
      <c r="E227" s="54" t="s">
        <v>78</v>
      </c>
      <c r="F227" s="54" t="str">
        <f>_xlfn.CONCAT(Table13[[#This Row],[Geographic Scope]],": ",Table13[[#This Row],[Sub-Type/Focus]])</f>
        <v>State: Multiple Related Topics</v>
      </c>
      <c r="G227" s="54" t="str">
        <f>_xlfn.CONCAT(Table13[[#This Row],[Geographic Scope]],": ",Table13[[#This Row],[Sub-Type/Focus]],": ",Table13[[#This Row],[Content Type]])</f>
        <v>State: Multiple Related Topics: Investigative</v>
      </c>
      <c r="H227" s="54" t="str">
        <f>_xlfn.CONCAT(Table13[[#This Row],[Geographic Scope]],": ",Table13[[#This Row],[Content Type]])</f>
        <v>State: Investigative</v>
      </c>
      <c r="I227" s="55">
        <v>1476760.098</v>
      </c>
      <c r="J227" s="55">
        <v>918840.63800000004</v>
      </c>
      <c r="K227" s="55">
        <v>1014399.0181818183</v>
      </c>
      <c r="L227" s="54">
        <v>522940.39699999988</v>
      </c>
      <c r="M227" s="54">
        <v>304355.33333333331</v>
      </c>
      <c r="N227" s="54">
        <v>342084.29249999998</v>
      </c>
      <c r="O227" s="54">
        <v>68598.361000000004</v>
      </c>
      <c r="P227" s="54">
        <v>49702.525999999998</v>
      </c>
      <c r="Q227" s="54">
        <v>223783.40549999996</v>
      </c>
      <c r="R227" s="54">
        <v>40813.2425</v>
      </c>
      <c r="S227" s="54">
        <v>501305</v>
      </c>
      <c r="T227" s="54">
        <v>258030</v>
      </c>
      <c r="U227" s="54">
        <v>661761.73333333328</v>
      </c>
      <c r="V227" s="54">
        <v>674937</v>
      </c>
      <c r="W227" s="54">
        <v>55800.5</v>
      </c>
      <c r="X227" s="54">
        <v>1061453.6000000001</v>
      </c>
      <c r="Y227" s="54">
        <v>962756.5135</v>
      </c>
      <c r="Z227" s="54">
        <v>361181.83250000002</v>
      </c>
      <c r="AA227" s="54">
        <v>1323938.3460000001</v>
      </c>
      <c r="AB227" s="54">
        <v>11.608695652173912</v>
      </c>
      <c r="AC227" s="54">
        <v>8.4130434782608692</v>
      </c>
      <c r="AD227" s="54">
        <v>5.25</v>
      </c>
      <c r="AE227" s="54">
        <v>1541170.3630434782</v>
      </c>
      <c r="AF227" s="54">
        <v>1346854.4286956524</v>
      </c>
      <c r="AG227" s="54">
        <v>279329.15562500001</v>
      </c>
      <c r="AH227" s="54">
        <v>633893.65956521744</v>
      </c>
      <c r="AI227" s="54">
        <v>237186.25</v>
      </c>
      <c r="AJ227" s="54">
        <v>655924.42260869569</v>
      </c>
      <c r="AK227" s="54">
        <v>237936.28086956521</v>
      </c>
      <c r="AL227" s="54">
        <v>52563.75304347826</v>
      </c>
      <c r="AM227" s="54">
        <v>365424.38869565213</v>
      </c>
      <c r="AN227" s="54">
        <v>45386.371249999997</v>
      </c>
      <c r="AO227" s="54">
        <v>74800.399999999994</v>
      </c>
      <c r="AP227" s="54">
        <v>169225.22222222222</v>
      </c>
      <c r="AQ227" s="54">
        <v>229109.72111111111</v>
      </c>
      <c r="AR227" s="54">
        <v>149874</v>
      </c>
      <c r="AS227" s="54">
        <v>46890.400000000001</v>
      </c>
      <c r="AT227" s="54">
        <v>17989.142857142859</v>
      </c>
      <c r="AU227" s="54">
        <v>835167.6508695652</v>
      </c>
      <c r="AV227" s="54">
        <v>568741.83956521738</v>
      </c>
      <c r="AW227" s="54">
        <v>1403909.4904347826</v>
      </c>
      <c r="AX227" s="54">
        <v>11.945384615384617</v>
      </c>
      <c r="AY227" s="54">
        <v>9.08</v>
      </c>
      <c r="AZ227" s="54">
        <v>4.65625</v>
      </c>
      <c r="BA227" s="54" t="s">
        <v>342</v>
      </c>
      <c r="BB227" s="54" t="s">
        <v>349</v>
      </c>
    </row>
    <row r="228" spans="1:54" x14ac:dyDescent="0.25">
      <c r="A228" s="54">
        <v>471</v>
      </c>
      <c r="B228" s="54">
        <v>2018</v>
      </c>
      <c r="C228" s="88" t="s">
        <v>81</v>
      </c>
      <c r="D228" s="54" t="s">
        <v>83</v>
      </c>
      <c r="E228" s="54" t="s">
        <v>78</v>
      </c>
      <c r="F228" s="54" t="str">
        <f>_xlfn.CONCAT(Table13[[#This Row],[Geographic Scope]],": ",Table13[[#This Row],[Sub-Type/Focus]])</f>
        <v>State: Multiple Related Topics</v>
      </c>
      <c r="G228" s="54" t="str">
        <f>_xlfn.CONCAT(Table13[[#This Row],[Geographic Scope]],": ",Table13[[#This Row],[Sub-Type/Focus]],": ",Table13[[#This Row],[Content Type]])</f>
        <v>State: Multiple Related Topics: Investigative</v>
      </c>
      <c r="H228" s="54" t="str">
        <f>_xlfn.CONCAT(Table13[[#This Row],[Geographic Scope]],": ",Table13[[#This Row],[Content Type]])</f>
        <v>State: Investigative</v>
      </c>
      <c r="I228" s="55">
        <v>1476760.098</v>
      </c>
      <c r="J228" s="55">
        <v>918840.63800000004</v>
      </c>
      <c r="K228" s="55">
        <v>1014399.0181818183</v>
      </c>
      <c r="L228" s="54">
        <v>522940.39699999988</v>
      </c>
      <c r="M228" s="54">
        <v>304355.33333333331</v>
      </c>
      <c r="N228" s="54">
        <v>342084.29249999998</v>
      </c>
      <c r="O228" s="54">
        <v>68598.361000000004</v>
      </c>
      <c r="P228" s="54">
        <v>49702.525999999998</v>
      </c>
      <c r="Q228" s="54">
        <v>223783.40549999996</v>
      </c>
      <c r="R228" s="54">
        <v>40813.2425</v>
      </c>
      <c r="S228" s="54">
        <v>501305</v>
      </c>
      <c r="T228" s="54">
        <v>258030</v>
      </c>
      <c r="U228" s="54">
        <v>661761.73333333328</v>
      </c>
      <c r="V228" s="54">
        <v>674937</v>
      </c>
      <c r="W228" s="54">
        <v>55800.5</v>
      </c>
      <c r="X228" s="54">
        <v>1061453.6000000001</v>
      </c>
      <c r="Y228" s="54">
        <v>962756.5135</v>
      </c>
      <c r="Z228" s="54">
        <v>361181.83250000002</v>
      </c>
      <c r="AA228" s="54">
        <v>1323938.3460000001</v>
      </c>
      <c r="AB228" s="54">
        <v>11.608695652173912</v>
      </c>
      <c r="AC228" s="54">
        <v>8.4130434782608692</v>
      </c>
      <c r="AD228" s="54">
        <v>5.25</v>
      </c>
      <c r="AE228" s="54">
        <v>1541170.3630434782</v>
      </c>
      <c r="AF228" s="54">
        <v>1346854.4286956524</v>
      </c>
      <c r="AG228" s="54">
        <v>279329.15562500001</v>
      </c>
      <c r="AH228" s="54">
        <v>633893.65956521744</v>
      </c>
      <c r="AI228" s="54">
        <v>237186.25</v>
      </c>
      <c r="AJ228" s="54">
        <v>655924.42260869569</v>
      </c>
      <c r="AK228" s="54">
        <v>237936.28086956521</v>
      </c>
      <c r="AL228" s="54">
        <v>52563.75304347826</v>
      </c>
      <c r="AM228" s="54">
        <v>365424.38869565213</v>
      </c>
      <c r="AN228" s="54">
        <v>45386.371249999997</v>
      </c>
      <c r="AO228" s="54">
        <v>74800.399999999994</v>
      </c>
      <c r="AP228" s="54">
        <v>169225.22222222222</v>
      </c>
      <c r="AQ228" s="54">
        <v>229109.72111111111</v>
      </c>
      <c r="AR228" s="54">
        <v>149874</v>
      </c>
      <c r="AS228" s="54">
        <v>46890.400000000001</v>
      </c>
      <c r="AT228" s="54">
        <v>17989.142857142859</v>
      </c>
      <c r="AU228" s="54">
        <v>835167.6508695652</v>
      </c>
      <c r="AV228" s="54">
        <v>568741.83956521738</v>
      </c>
      <c r="AW228" s="54">
        <v>1403909.4904347826</v>
      </c>
      <c r="AX228" s="54">
        <v>11.945384615384617</v>
      </c>
      <c r="AY228" s="54">
        <v>9.08</v>
      </c>
      <c r="AZ228" s="54">
        <v>4.65625</v>
      </c>
      <c r="BA228" s="54" t="s">
        <v>339</v>
      </c>
      <c r="BB228" s="54" t="s">
        <v>344</v>
      </c>
    </row>
    <row r="229" spans="1:54" x14ac:dyDescent="0.25">
      <c r="A229" s="54">
        <v>501</v>
      </c>
      <c r="B229" s="54">
        <v>2019</v>
      </c>
      <c r="C229" s="88" t="s">
        <v>81</v>
      </c>
      <c r="D229" s="54" t="s">
        <v>83</v>
      </c>
      <c r="E229" s="54" t="s">
        <v>78</v>
      </c>
      <c r="F229" s="54" t="str">
        <f>_xlfn.CONCAT(Table13[[#This Row],[Geographic Scope]],": ",Table13[[#This Row],[Sub-Type/Focus]])</f>
        <v>State: Multiple Related Topics</v>
      </c>
      <c r="G229" s="54" t="str">
        <f>_xlfn.CONCAT(Table13[[#This Row],[Geographic Scope]],": ",Table13[[#This Row],[Sub-Type/Focus]],": ",Table13[[#This Row],[Content Type]])</f>
        <v>State: Multiple Related Topics: Investigative</v>
      </c>
      <c r="H229" s="54" t="str">
        <f>_xlfn.CONCAT(Table13[[#This Row],[Geographic Scope]],": ",Table13[[#This Row],[Content Type]])</f>
        <v>State: Investigative</v>
      </c>
      <c r="I229" s="55">
        <v>1476760.098</v>
      </c>
      <c r="J229" s="55">
        <v>918840.63800000004</v>
      </c>
      <c r="K229" s="55">
        <v>1014399.0181818183</v>
      </c>
      <c r="L229" s="54">
        <v>522940.39699999988</v>
      </c>
      <c r="M229" s="54">
        <v>304355.33333333331</v>
      </c>
      <c r="N229" s="54">
        <v>342084.29249999998</v>
      </c>
      <c r="O229" s="54">
        <v>68598.361000000004</v>
      </c>
      <c r="P229" s="54">
        <v>49702.525999999998</v>
      </c>
      <c r="Q229" s="54">
        <v>223783.40549999996</v>
      </c>
      <c r="R229" s="54">
        <v>40813.2425</v>
      </c>
      <c r="S229" s="54">
        <v>501305</v>
      </c>
      <c r="T229" s="54">
        <v>258030</v>
      </c>
      <c r="U229" s="54">
        <v>661761.73333333328</v>
      </c>
      <c r="V229" s="54">
        <v>674937</v>
      </c>
      <c r="W229" s="54">
        <v>55800.5</v>
      </c>
      <c r="X229" s="54">
        <v>1061453.6000000001</v>
      </c>
      <c r="Y229" s="54">
        <v>962756.5135</v>
      </c>
      <c r="Z229" s="54">
        <v>361181.83250000002</v>
      </c>
      <c r="AA229" s="54">
        <v>1323938.3460000001</v>
      </c>
      <c r="AB229" s="54">
        <v>11.608695652173912</v>
      </c>
      <c r="AC229" s="54">
        <v>8.4130434782608692</v>
      </c>
      <c r="AD229" s="54">
        <v>5.25</v>
      </c>
      <c r="AE229" s="54">
        <v>1541170.3630434782</v>
      </c>
      <c r="AF229" s="54">
        <v>1346854.4286956524</v>
      </c>
      <c r="AG229" s="54">
        <v>279329.15562500001</v>
      </c>
      <c r="AH229" s="54">
        <v>633893.65956521744</v>
      </c>
      <c r="AI229" s="54">
        <v>237186.25</v>
      </c>
      <c r="AJ229" s="54">
        <v>655924.42260869569</v>
      </c>
      <c r="AK229" s="54">
        <v>237936.28086956521</v>
      </c>
      <c r="AL229" s="54">
        <v>52563.75304347826</v>
      </c>
      <c r="AM229" s="54">
        <v>365424.38869565213</v>
      </c>
      <c r="AN229" s="54">
        <v>45386.371249999997</v>
      </c>
      <c r="AO229" s="54">
        <v>74800.399999999994</v>
      </c>
      <c r="AP229" s="54">
        <v>169225.22222222222</v>
      </c>
      <c r="AQ229" s="54">
        <v>229109.72111111111</v>
      </c>
      <c r="AR229" s="54">
        <v>149874</v>
      </c>
      <c r="AS229" s="54">
        <v>46890.400000000001</v>
      </c>
      <c r="AT229" s="54">
        <v>17989.142857142859</v>
      </c>
      <c r="AU229" s="54">
        <v>835167.6508695652</v>
      </c>
      <c r="AV229" s="54">
        <v>568741.83956521738</v>
      </c>
      <c r="AW229" s="54">
        <v>1403909.4904347826</v>
      </c>
      <c r="AX229" s="54">
        <v>11.945384615384617</v>
      </c>
      <c r="AY229" s="54">
        <v>9.08</v>
      </c>
      <c r="AZ229" s="54">
        <v>4.65625</v>
      </c>
      <c r="BA229" s="54" t="s">
        <v>342</v>
      </c>
    </row>
    <row r="230" spans="1:54" x14ac:dyDescent="0.25">
      <c r="A230" s="54">
        <v>2949</v>
      </c>
      <c r="B230" s="54">
        <v>2019</v>
      </c>
      <c r="C230" s="88" t="s">
        <v>81</v>
      </c>
      <c r="D230" s="54" t="s">
        <v>83</v>
      </c>
      <c r="E230" s="54" t="s">
        <v>78</v>
      </c>
      <c r="F230" s="54" t="str">
        <f>_xlfn.CONCAT(Table13[[#This Row],[Geographic Scope]],": ",Table13[[#This Row],[Sub-Type/Focus]])</f>
        <v>State: Multiple Related Topics</v>
      </c>
      <c r="G230" s="54" t="str">
        <f>_xlfn.CONCAT(Table13[[#This Row],[Geographic Scope]],": ",Table13[[#This Row],[Sub-Type/Focus]],": ",Table13[[#This Row],[Content Type]])</f>
        <v>State: Multiple Related Topics: Investigative</v>
      </c>
      <c r="H230" s="54" t="str">
        <f>_xlfn.CONCAT(Table13[[#This Row],[Geographic Scope]],": ",Table13[[#This Row],[Content Type]])</f>
        <v>State: Investigative</v>
      </c>
      <c r="I230" s="55">
        <v>1476760.098</v>
      </c>
      <c r="J230" s="55">
        <v>918840.63800000004</v>
      </c>
      <c r="K230" s="55">
        <v>1014399.0181818183</v>
      </c>
      <c r="L230" s="54">
        <v>522940.39699999988</v>
      </c>
      <c r="M230" s="54">
        <v>304355.33333333331</v>
      </c>
      <c r="N230" s="54">
        <v>342084.29249999998</v>
      </c>
      <c r="O230" s="54">
        <v>68598.361000000004</v>
      </c>
      <c r="P230" s="54">
        <v>49702.525999999998</v>
      </c>
      <c r="Q230" s="54">
        <v>223783.40549999996</v>
      </c>
      <c r="R230" s="54">
        <v>40813.2425</v>
      </c>
      <c r="S230" s="54">
        <v>501305</v>
      </c>
      <c r="T230" s="54">
        <v>258030</v>
      </c>
      <c r="U230" s="54">
        <v>661761.73333333328</v>
      </c>
      <c r="V230" s="54">
        <v>674937</v>
      </c>
      <c r="W230" s="54">
        <v>55800.5</v>
      </c>
      <c r="X230" s="54">
        <v>1061453.6000000001</v>
      </c>
      <c r="Y230" s="54">
        <v>962756.5135</v>
      </c>
      <c r="Z230" s="54">
        <v>361181.83250000002</v>
      </c>
      <c r="AA230" s="54">
        <v>1323938.3460000001</v>
      </c>
      <c r="AB230" s="54">
        <v>11.608695652173912</v>
      </c>
      <c r="AC230" s="54">
        <v>8.4130434782608692</v>
      </c>
      <c r="AD230" s="54">
        <v>5.25</v>
      </c>
      <c r="AE230" s="54">
        <v>1541170.3630434782</v>
      </c>
      <c r="AF230" s="54">
        <v>1346854.4286956524</v>
      </c>
      <c r="AG230" s="54">
        <v>279329.15562500001</v>
      </c>
      <c r="AH230" s="54">
        <v>633893.65956521744</v>
      </c>
      <c r="AI230" s="54">
        <v>237186.25</v>
      </c>
      <c r="AJ230" s="54">
        <v>655924.42260869569</v>
      </c>
      <c r="AK230" s="54">
        <v>237936.28086956521</v>
      </c>
      <c r="AL230" s="54">
        <v>52563.75304347826</v>
      </c>
      <c r="AM230" s="54">
        <v>365424.38869565213</v>
      </c>
      <c r="AN230" s="54">
        <v>45386.371249999997</v>
      </c>
      <c r="AO230" s="54">
        <v>74800.399999999994</v>
      </c>
      <c r="AP230" s="54">
        <v>169225.22222222222</v>
      </c>
      <c r="AQ230" s="54">
        <v>229109.72111111111</v>
      </c>
      <c r="AR230" s="54">
        <v>149874</v>
      </c>
      <c r="AS230" s="54">
        <v>46890.400000000001</v>
      </c>
      <c r="AT230" s="54">
        <v>17989.142857142859</v>
      </c>
      <c r="AU230" s="54">
        <v>835167.6508695652</v>
      </c>
      <c r="AV230" s="54">
        <v>568741.83956521738</v>
      </c>
      <c r="AW230" s="54">
        <v>1403909.4904347826</v>
      </c>
      <c r="AX230" s="54">
        <v>11.945384615384617</v>
      </c>
      <c r="AY230" s="54">
        <v>9.08</v>
      </c>
      <c r="AZ230" s="54">
        <v>4.65625</v>
      </c>
      <c r="BA230" s="54" t="s">
        <v>339</v>
      </c>
      <c r="BB230" s="54" t="s">
        <v>368</v>
      </c>
    </row>
    <row r="231" spans="1:54" x14ac:dyDescent="0.25">
      <c r="A231" s="54">
        <v>6810</v>
      </c>
      <c r="B231" s="54">
        <v>2020</v>
      </c>
      <c r="C231" s="88" t="s">
        <v>81</v>
      </c>
      <c r="D231" s="54" t="s">
        <v>83</v>
      </c>
      <c r="E231" s="54" t="s">
        <v>78</v>
      </c>
      <c r="F231" s="54" t="str">
        <f>_xlfn.CONCAT(Table13[[#This Row],[Geographic Scope]],": ",Table13[[#This Row],[Sub-Type/Focus]])</f>
        <v>State: Multiple Related Topics</v>
      </c>
      <c r="G231" s="54" t="str">
        <f>_xlfn.CONCAT(Table13[[#This Row],[Geographic Scope]],": ",Table13[[#This Row],[Sub-Type/Focus]],": ",Table13[[#This Row],[Content Type]])</f>
        <v>State: Multiple Related Topics: Investigative</v>
      </c>
      <c r="H231" s="54" t="str">
        <f>_xlfn.CONCAT(Table13[[#This Row],[Geographic Scope]],": ",Table13[[#This Row],[Content Type]])</f>
        <v>State: Investigative</v>
      </c>
      <c r="I231" s="55">
        <v>1476760.098</v>
      </c>
      <c r="J231" s="55">
        <v>918840.63800000004</v>
      </c>
      <c r="K231" s="55">
        <v>1014399.0181818183</v>
      </c>
      <c r="L231" s="54">
        <v>522940.39699999988</v>
      </c>
      <c r="M231" s="54">
        <v>304355.33333333331</v>
      </c>
      <c r="N231" s="54">
        <v>342084.29249999998</v>
      </c>
      <c r="O231" s="54">
        <v>68598.361000000004</v>
      </c>
      <c r="P231" s="54">
        <v>49702.525999999998</v>
      </c>
      <c r="Q231" s="54">
        <v>223783.40549999996</v>
      </c>
      <c r="R231" s="54">
        <v>40813.2425</v>
      </c>
      <c r="S231" s="54">
        <v>501305</v>
      </c>
      <c r="T231" s="54">
        <v>258030</v>
      </c>
      <c r="U231" s="54">
        <v>661761.73333333328</v>
      </c>
      <c r="V231" s="54">
        <v>674937</v>
      </c>
      <c r="W231" s="54">
        <v>55800.5</v>
      </c>
      <c r="X231" s="54">
        <v>1061453.6000000001</v>
      </c>
      <c r="Y231" s="54">
        <v>962756.5135</v>
      </c>
      <c r="Z231" s="54">
        <v>361181.83250000002</v>
      </c>
      <c r="AA231" s="54">
        <v>1323938.3460000001</v>
      </c>
      <c r="AB231" s="54">
        <v>11.608695652173912</v>
      </c>
      <c r="AC231" s="54">
        <v>8.4130434782608692</v>
      </c>
      <c r="AD231" s="54">
        <v>5.25</v>
      </c>
      <c r="AE231" s="54">
        <v>1541170.3630434782</v>
      </c>
      <c r="AF231" s="54">
        <v>1346854.4286956524</v>
      </c>
      <c r="AG231" s="54">
        <v>279329.15562500001</v>
      </c>
      <c r="AH231" s="54">
        <v>633893.65956521744</v>
      </c>
      <c r="AI231" s="54">
        <v>237186.25</v>
      </c>
      <c r="AJ231" s="54">
        <v>655924.42260869569</v>
      </c>
      <c r="AK231" s="54">
        <v>237936.28086956521</v>
      </c>
      <c r="AL231" s="54">
        <v>52563.75304347826</v>
      </c>
      <c r="AM231" s="54">
        <v>365424.38869565213</v>
      </c>
      <c r="AN231" s="54">
        <v>45386.371249999997</v>
      </c>
      <c r="AO231" s="54">
        <v>74800.399999999994</v>
      </c>
      <c r="AP231" s="54">
        <v>169225.22222222222</v>
      </c>
      <c r="AQ231" s="54">
        <v>229109.72111111111</v>
      </c>
      <c r="AR231" s="54">
        <v>149874</v>
      </c>
      <c r="AS231" s="54">
        <v>46890.400000000001</v>
      </c>
      <c r="AT231" s="54">
        <v>17989.142857142859</v>
      </c>
      <c r="AU231" s="54">
        <v>835167.6508695652</v>
      </c>
      <c r="AV231" s="54">
        <v>568741.83956521738</v>
      </c>
      <c r="AW231" s="54">
        <v>1403909.4904347826</v>
      </c>
      <c r="AX231" s="54">
        <v>11.945384615384617</v>
      </c>
      <c r="AY231" s="54">
        <v>9.08</v>
      </c>
      <c r="AZ231" s="54">
        <v>4.65625</v>
      </c>
      <c r="BA231" s="54" t="s">
        <v>342</v>
      </c>
    </row>
    <row r="232" spans="1:54" x14ac:dyDescent="0.25">
      <c r="A232" s="54">
        <v>6862</v>
      </c>
      <c r="B232" s="54">
        <v>2020</v>
      </c>
      <c r="C232" s="88" t="s">
        <v>81</v>
      </c>
      <c r="D232" s="54" t="s">
        <v>83</v>
      </c>
      <c r="E232" s="54" t="s">
        <v>78</v>
      </c>
      <c r="F232" s="54" t="str">
        <f>_xlfn.CONCAT(Table13[[#This Row],[Geographic Scope]],": ",Table13[[#This Row],[Sub-Type/Focus]])</f>
        <v>State: Multiple Related Topics</v>
      </c>
      <c r="G232" s="54" t="str">
        <f>_xlfn.CONCAT(Table13[[#This Row],[Geographic Scope]],": ",Table13[[#This Row],[Sub-Type/Focus]],": ",Table13[[#This Row],[Content Type]])</f>
        <v>State: Multiple Related Topics: Investigative</v>
      </c>
      <c r="H232" s="54" t="str">
        <f>_xlfn.CONCAT(Table13[[#This Row],[Geographic Scope]],": ",Table13[[#This Row],[Content Type]])</f>
        <v>State: Investigative</v>
      </c>
      <c r="I232" s="55">
        <v>1476760.098</v>
      </c>
      <c r="J232" s="55">
        <v>918840.63800000004</v>
      </c>
      <c r="K232" s="55">
        <v>1014399.0181818183</v>
      </c>
      <c r="L232" s="54">
        <v>522940.39699999988</v>
      </c>
      <c r="M232" s="54">
        <v>304355.33333333331</v>
      </c>
      <c r="N232" s="54">
        <v>342084.29249999998</v>
      </c>
      <c r="O232" s="54">
        <v>68598.361000000004</v>
      </c>
      <c r="P232" s="54">
        <v>49702.525999999998</v>
      </c>
      <c r="Q232" s="54">
        <v>223783.40549999996</v>
      </c>
      <c r="R232" s="54">
        <v>40813.2425</v>
      </c>
      <c r="S232" s="54">
        <v>501305</v>
      </c>
      <c r="T232" s="54">
        <v>258030</v>
      </c>
      <c r="U232" s="54">
        <v>661761.73333333328</v>
      </c>
      <c r="V232" s="54">
        <v>674937</v>
      </c>
      <c r="W232" s="54">
        <v>55800.5</v>
      </c>
      <c r="X232" s="54">
        <v>1061453.6000000001</v>
      </c>
      <c r="Y232" s="54">
        <v>962756.5135</v>
      </c>
      <c r="Z232" s="54">
        <v>361181.83250000002</v>
      </c>
      <c r="AA232" s="54">
        <v>1323938.3460000001</v>
      </c>
      <c r="AB232" s="54">
        <v>11.608695652173912</v>
      </c>
      <c r="AC232" s="54">
        <v>8.4130434782608692</v>
      </c>
      <c r="AD232" s="54">
        <v>5.25</v>
      </c>
      <c r="AE232" s="54">
        <v>1541170.3630434782</v>
      </c>
      <c r="AF232" s="54">
        <v>1346854.4286956524</v>
      </c>
      <c r="AG232" s="54">
        <v>279329.15562500001</v>
      </c>
      <c r="AH232" s="54">
        <v>633893.65956521744</v>
      </c>
      <c r="AI232" s="54">
        <v>237186.25</v>
      </c>
      <c r="AJ232" s="54">
        <v>655924.42260869569</v>
      </c>
      <c r="AK232" s="54">
        <v>237936.28086956521</v>
      </c>
      <c r="AL232" s="54">
        <v>52563.75304347826</v>
      </c>
      <c r="AM232" s="54">
        <v>365424.38869565213</v>
      </c>
      <c r="AN232" s="54">
        <v>45386.371249999997</v>
      </c>
      <c r="AO232" s="54">
        <v>74800.399999999994</v>
      </c>
      <c r="AP232" s="54">
        <v>169225.22222222222</v>
      </c>
      <c r="AQ232" s="54">
        <v>229109.72111111111</v>
      </c>
      <c r="AR232" s="54">
        <v>149874</v>
      </c>
      <c r="AS232" s="54">
        <v>46890.400000000001</v>
      </c>
      <c r="AT232" s="54">
        <v>17989.142857142859</v>
      </c>
      <c r="AU232" s="54">
        <v>835167.6508695652</v>
      </c>
      <c r="AV232" s="54">
        <v>568741.83956521738</v>
      </c>
      <c r="AW232" s="54">
        <v>1403909.4904347826</v>
      </c>
      <c r="AX232" s="54">
        <v>11.945384615384617</v>
      </c>
      <c r="AY232" s="54">
        <v>9.08</v>
      </c>
      <c r="AZ232" s="54">
        <v>4.65625</v>
      </c>
      <c r="BA232" s="54" t="s">
        <v>342</v>
      </c>
    </row>
    <row r="233" spans="1:54" x14ac:dyDescent="0.25">
      <c r="A233" s="54">
        <v>335</v>
      </c>
      <c r="B233" s="54">
        <v>1961</v>
      </c>
      <c r="C233" s="88" t="s">
        <v>81</v>
      </c>
      <c r="D233" s="54" t="s">
        <v>83</v>
      </c>
      <c r="E233" s="54" t="s">
        <v>79</v>
      </c>
      <c r="F233" s="54" t="str">
        <f>_xlfn.CONCAT(Table13[[#This Row],[Geographic Scope]],": ",Table13[[#This Row],[Sub-Type/Focus]])</f>
        <v>State: Single-Topic</v>
      </c>
      <c r="G233" s="54" t="str">
        <f>_xlfn.CONCAT(Table13[[#This Row],[Geographic Scope]],": ",Table13[[#This Row],[Sub-Type/Focus]],": ",Table13[[#This Row],[Content Type]])</f>
        <v>State: Single-Topic: Investigative</v>
      </c>
      <c r="H233" s="54" t="str">
        <f>_xlfn.CONCAT(Table13[[#This Row],[Geographic Scope]],": ",Table13[[#This Row],[Content Type]])</f>
        <v>State: Investigative</v>
      </c>
      <c r="I233" s="55">
        <v>1476760.098</v>
      </c>
      <c r="J233" s="55">
        <v>918840.63800000004</v>
      </c>
      <c r="K233" s="55">
        <v>1014399.0181818183</v>
      </c>
      <c r="L233" s="54">
        <v>522940.39699999988</v>
      </c>
      <c r="M233" s="54">
        <v>304355.33333333331</v>
      </c>
      <c r="N233" s="54">
        <v>342084.29249999998</v>
      </c>
      <c r="O233" s="54">
        <v>68598.361000000004</v>
      </c>
      <c r="P233" s="54">
        <v>49702.525999999998</v>
      </c>
      <c r="Q233" s="54">
        <v>223783.40549999996</v>
      </c>
      <c r="R233" s="54">
        <v>40813.2425</v>
      </c>
      <c r="S233" s="54">
        <v>501305</v>
      </c>
      <c r="T233" s="54">
        <v>258030</v>
      </c>
      <c r="U233" s="54">
        <v>661761.73333333328</v>
      </c>
      <c r="V233" s="54">
        <v>674937</v>
      </c>
      <c r="W233" s="54">
        <v>55800.5</v>
      </c>
      <c r="X233" s="54">
        <v>1061453.6000000001</v>
      </c>
      <c r="Y233" s="54">
        <v>962756.5135</v>
      </c>
      <c r="Z233" s="54">
        <v>361181.83250000002</v>
      </c>
      <c r="AA233" s="54">
        <v>1323938.3460000001</v>
      </c>
      <c r="AB233" s="54">
        <v>11.608695652173912</v>
      </c>
      <c r="AC233" s="54">
        <v>8.4130434782608692</v>
      </c>
      <c r="AD233" s="54">
        <v>5.25</v>
      </c>
      <c r="AE233" s="54">
        <v>836227.34249999991</v>
      </c>
      <c r="AF233" s="54">
        <v>812966.30999999994</v>
      </c>
      <c r="AG233" s="54">
        <v>37217.652000000002</v>
      </c>
      <c r="AH233" s="54">
        <v>766903.28571428568</v>
      </c>
      <c r="AI233" s="54">
        <v>2220</v>
      </c>
      <c r="AJ233" s="54">
        <v>141648.435</v>
      </c>
      <c r="AK233" s="54">
        <v>25520.3475</v>
      </c>
      <c r="AL233" s="54">
        <v>13590.5875</v>
      </c>
      <c r="AM233" s="54">
        <v>102537.5</v>
      </c>
      <c r="AN233" s="54">
        <v>0</v>
      </c>
      <c r="AO233" s="54">
        <v>550</v>
      </c>
      <c r="AP233" s="54">
        <v>22770</v>
      </c>
      <c r="AQ233" s="54">
        <v>0</v>
      </c>
      <c r="AR233" s="54">
        <v>0</v>
      </c>
      <c r="AS233" s="54">
        <v>18000</v>
      </c>
      <c r="AT233" s="54">
        <v>60724.13</v>
      </c>
      <c r="AU233" s="54">
        <v>566330.125</v>
      </c>
      <c r="AV233" s="54">
        <v>200559.5</v>
      </c>
      <c r="AW233" s="54">
        <v>766889.625</v>
      </c>
      <c r="AX233" s="54">
        <v>8.5142857142857142</v>
      </c>
      <c r="AY233" s="54">
        <v>5.4428571428571431</v>
      </c>
      <c r="AZ233" s="54">
        <v>7.166666666666667</v>
      </c>
      <c r="BA233" s="54" t="s">
        <v>343</v>
      </c>
      <c r="BB233" s="54" t="s">
        <v>346</v>
      </c>
    </row>
    <row r="234" spans="1:54" x14ac:dyDescent="0.25">
      <c r="A234" s="54">
        <v>341</v>
      </c>
      <c r="B234" s="54">
        <v>2009</v>
      </c>
      <c r="C234" s="88" t="s">
        <v>81</v>
      </c>
      <c r="D234" s="54" t="s">
        <v>83</v>
      </c>
      <c r="E234" s="54" t="s">
        <v>79</v>
      </c>
      <c r="F234" s="54" t="str">
        <f>_xlfn.CONCAT(Table13[[#This Row],[Geographic Scope]],": ",Table13[[#This Row],[Sub-Type/Focus]])</f>
        <v>State: Single-Topic</v>
      </c>
      <c r="G234" s="54" t="str">
        <f>_xlfn.CONCAT(Table13[[#This Row],[Geographic Scope]],": ",Table13[[#This Row],[Sub-Type/Focus]],": ",Table13[[#This Row],[Content Type]])</f>
        <v>State: Single-Topic: Investigative</v>
      </c>
      <c r="H234" s="54" t="str">
        <f>_xlfn.CONCAT(Table13[[#This Row],[Geographic Scope]],": ",Table13[[#This Row],[Content Type]])</f>
        <v>State: Investigative</v>
      </c>
      <c r="I234" s="55">
        <v>1476760.098</v>
      </c>
      <c r="J234" s="55">
        <v>918840.63800000004</v>
      </c>
      <c r="K234" s="55">
        <v>1014399.0181818183</v>
      </c>
      <c r="L234" s="54">
        <v>522940.39699999988</v>
      </c>
      <c r="M234" s="54">
        <v>304355.33333333331</v>
      </c>
      <c r="N234" s="54">
        <v>342084.29249999998</v>
      </c>
      <c r="O234" s="54">
        <v>68598.361000000004</v>
      </c>
      <c r="P234" s="54">
        <v>49702.525999999998</v>
      </c>
      <c r="Q234" s="54">
        <v>223783.40549999996</v>
      </c>
      <c r="R234" s="54">
        <v>40813.2425</v>
      </c>
      <c r="S234" s="54">
        <v>501305</v>
      </c>
      <c r="T234" s="54">
        <v>258030</v>
      </c>
      <c r="U234" s="54">
        <v>661761.73333333328</v>
      </c>
      <c r="V234" s="54">
        <v>674937</v>
      </c>
      <c r="W234" s="54">
        <v>55800.5</v>
      </c>
      <c r="X234" s="54">
        <v>1061453.6000000001</v>
      </c>
      <c r="Y234" s="54">
        <v>962756.5135</v>
      </c>
      <c r="Z234" s="54">
        <v>361181.83250000002</v>
      </c>
      <c r="AA234" s="54">
        <v>1323938.3460000001</v>
      </c>
      <c r="AB234" s="54">
        <v>11.608695652173912</v>
      </c>
      <c r="AC234" s="54">
        <v>8.4130434782608692</v>
      </c>
      <c r="AD234" s="54">
        <v>5.25</v>
      </c>
      <c r="AE234" s="54">
        <v>836227.34249999991</v>
      </c>
      <c r="AF234" s="54">
        <v>812966.30999999994</v>
      </c>
      <c r="AG234" s="54">
        <v>37217.652000000002</v>
      </c>
      <c r="AH234" s="54">
        <v>766903.28571428568</v>
      </c>
      <c r="AI234" s="54">
        <v>2220</v>
      </c>
      <c r="AJ234" s="54">
        <v>141648.435</v>
      </c>
      <c r="AK234" s="54">
        <v>25520.3475</v>
      </c>
      <c r="AL234" s="54">
        <v>13590.5875</v>
      </c>
      <c r="AM234" s="54">
        <v>102537.5</v>
      </c>
      <c r="AN234" s="54">
        <v>0</v>
      </c>
      <c r="AO234" s="54">
        <v>550</v>
      </c>
      <c r="AP234" s="54">
        <v>22770</v>
      </c>
      <c r="AQ234" s="54">
        <v>0</v>
      </c>
      <c r="AR234" s="54">
        <v>0</v>
      </c>
      <c r="AS234" s="54">
        <v>18000</v>
      </c>
      <c r="AT234" s="54">
        <v>60724.13</v>
      </c>
      <c r="AU234" s="54">
        <v>566330.125</v>
      </c>
      <c r="AV234" s="54">
        <v>200559.5</v>
      </c>
      <c r="AW234" s="54">
        <v>766889.625</v>
      </c>
      <c r="AX234" s="54">
        <v>8.5142857142857142</v>
      </c>
      <c r="AY234" s="54">
        <v>5.4428571428571431</v>
      </c>
      <c r="AZ234" s="54">
        <v>7.166666666666667</v>
      </c>
      <c r="BA234" s="54" t="s">
        <v>339</v>
      </c>
      <c r="BB234" s="54" t="s">
        <v>348</v>
      </c>
    </row>
    <row r="235" spans="1:54" x14ac:dyDescent="0.25">
      <c r="A235" s="54">
        <v>357</v>
      </c>
      <c r="B235" s="54">
        <v>2010</v>
      </c>
      <c r="C235" s="88" t="s">
        <v>81</v>
      </c>
      <c r="D235" s="54" t="s">
        <v>83</v>
      </c>
      <c r="E235" s="54" t="s">
        <v>79</v>
      </c>
      <c r="F235" s="54" t="str">
        <f>_xlfn.CONCAT(Table13[[#This Row],[Geographic Scope]],": ",Table13[[#This Row],[Sub-Type/Focus]])</f>
        <v>State: Single-Topic</v>
      </c>
      <c r="G235" s="54" t="str">
        <f>_xlfn.CONCAT(Table13[[#This Row],[Geographic Scope]],": ",Table13[[#This Row],[Sub-Type/Focus]],": ",Table13[[#This Row],[Content Type]])</f>
        <v>State: Single-Topic: Investigative</v>
      </c>
      <c r="H235" s="54" t="str">
        <f>_xlfn.CONCAT(Table13[[#This Row],[Geographic Scope]],": ",Table13[[#This Row],[Content Type]])</f>
        <v>State: Investigative</v>
      </c>
      <c r="I235" s="55">
        <v>1476760.098</v>
      </c>
      <c r="J235" s="55">
        <v>918840.63800000004</v>
      </c>
      <c r="K235" s="55">
        <v>1014399.0181818183</v>
      </c>
      <c r="L235" s="54">
        <v>522940.39699999988</v>
      </c>
      <c r="M235" s="54">
        <v>304355.33333333331</v>
      </c>
      <c r="N235" s="54">
        <v>342084.29249999998</v>
      </c>
      <c r="O235" s="54">
        <v>68598.361000000004</v>
      </c>
      <c r="P235" s="54">
        <v>49702.525999999998</v>
      </c>
      <c r="Q235" s="54">
        <v>223783.40549999996</v>
      </c>
      <c r="R235" s="54">
        <v>40813.2425</v>
      </c>
      <c r="S235" s="54">
        <v>501305</v>
      </c>
      <c r="T235" s="54">
        <v>258030</v>
      </c>
      <c r="U235" s="54">
        <v>661761.73333333328</v>
      </c>
      <c r="V235" s="54">
        <v>674937</v>
      </c>
      <c r="W235" s="54">
        <v>55800.5</v>
      </c>
      <c r="X235" s="54">
        <v>1061453.6000000001</v>
      </c>
      <c r="Y235" s="54">
        <v>962756.5135</v>
      </c>
      <c r="Z235" s="54">
        <v>361181.83250000002</v>
      </c>
      <c r="AA235" s="54">
        <v>1323938.3460000001</v>
      </c>
      <c r="AB235" s="54">
        <v>11.608695652173912</v>
      </c>
      <c r="AC235" s="54">
        <v>8.4130434782608692</v>
      </c>
      <c r="AD235" s="54">
        <v>5.25</v>
      </c>
      <c r="AE235" s="54">
        <v>836227.34249999991</v>
      </c>
      <c r="AF235" s="54">
        <v>812966.30999999994</v>
      </c>
      <c r="AG235" s="54">
        <v>37217.652000000002</v>
      </c>
      <c r="AH235" s="54">
        <v>766903.28571428568</v>
      </c>
      <c r="AI235" s="54">
        <v>2220</v>
      </c>
      <c r="AJ235" s="54">
        <v>141648.435</v>
      </c>
      <c r="AK235" s="54">
        <v>25520.3475</v>
      </c>
      <c r="AL235" s="54">
        <v>13590.5875</v>
      </c>
      <c r="AM235" s="54">
        <v>102537.5</v>
      </c>
      <c r="AN235" s="54">
        <v>0</v>
      </c>
      <c r="AO235" s="54">
        <v>550</v>
      </c>
      <c r="AP235" s="54">
        <v>22770</v>
      </c>
      <c r="AQ235" s="54">
        <v>0</v>
      </c>
      <c r="AR235" s="54">
        <v>0</v>
      </c>
      <c r="AS235" s="54">
        <v>18000</v>
      </c>
      <c r="AT235" s="54">
        <v>60724.13</v>
      </c>
      <c r="AU235" s="54">
        <v>566330.125</v>
      </c>
      <c r="AV235" s="54">
        <v>200559.5</v>
      </c>
      <c r="AW235" s="54">
        <v>766889.625</v>
      </c>
      <c r="AX235" s="54">
        <v>8.5142857142857142</v>
      </c>
      <c r="AY235" s="54">
        <v>5.4428571428571431</v>
      </c>
      <c r="AZ235" s="54">
        <v>7.166666666666667</v>
      </c>
      <c r="BA235" s="54" t="s">
        <v>342</v>
      </c>
      <c r="BB235" s="54" t="s">
        <v>349</v>
      </c>
    </row>
  </sheetData>
  <sheetProtection selectLockedCells="1" selectUnlockedCells="1"/>
  <pageMargins left="0.75" right="0.75" top="1" bottom="1" header="0.5" footer="0.5"/>
  <pageSetup orientation="portrait" horizontalDpi="1200" verticalDpi="1200"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r:uid="{D39CFBB3-3450-4C94-89FE-5BE73B7B35BE}">
          <x14:formula1>
            <xm:f>'Dropdown Menus'!$C$2:$C$7</xm:f>
          </x14:formula1>
          <xm:sqref>D2:D235</xm:sqref>
        </x14:dataValidation>
        <x14:dataValidation type="list" allowBlank="1" showInputMessage="1" showErrorMessage="1" xr:uid="{ED28D35B-D312-438D-BC17-97CD45E96DF0}">
          <x14:formula1>
            <xm:f>'Dropdown Menus'!$H$2:$H$9</xm:f>
          </x14:formula1>
          <xm:sqref>BA2:BA235</xm:sqref>
        </x14:dataValidation>
        <x14:dataValidation type="list" allowBlank="1" showInputMessage="1" showErrorMessage="1" xr:uid="{55FDA68F-6D51-442C-A8D3-DD3AF0A6A357}">
          <x14:formula1>
            <xm:f>'Dropdown Menus'!$B$2:$B$5</xm:f>
          </x14:formula1>
          <xm:sqref>C2:C235</xm:sqref>
        </x14:dataValidation>
        <x14:dataValidation type="list" allowBlank="1" showInputMessage="1" showErrorMessage="1" xr:uid="{AC6E85EF-EEAC-4B7D-94A6-A7387FA8A7BA}">
          <x14:formula1>
            <xm:f>'Dropdown Menus'!$D$2:$D$6</xm:f>
          </x14:formula1>
          <xm:sqref>E2:E235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51186-6FF9-4C78-8AAB-E6D931BF1F56}">
  <sheetPr>
    <tabColor theme="5" tint="0.39997558519241921"/>
  </sheetPr>
  <dimension ref="A1:BW109"/>
  <sheetViews>
    <sheetView topLeftCell="A82" zoomScaleNormal="100" workbookViewId="0">
      <selection activeCell="F28" sqref="F28"/>
    </sheetView>
  </sheetViews>
  <sheetFormatPr defaultColWidth="18.140625" defaultRowHeight="15.75" outlineLevelCol="1" x14ac:dyDescent="0.25"/>
  <cols>
    <col min="1" max="3" width="18.140625" style="54"/>
    <col min="4" max="4" width="23.42578125" style="54" bestFit="1" customWidth="1"/>
    <col min="5" max="5" width="31.28515625" style="54" bestFit="1" customWidth="1"/>
    <col min="6" max="6" width="16.140625" style="54" bestFit="1" customWidth="1"/>
    <col min="7" max="7" width="29" style="54" bestFit="1" customWidth="1"/>
    <col min="8" max="8" width="29" style="54" customWidth="1"/>
    <col min="9" max="10" width="18.140625" style="54"/>
    <col min="11" max="15" width="18.140625" style="70"/>
    <col min="16" max="21" width="18.140625" style="54"/>
    <col min="22" max="23" width="0" style="54" hidden="1" customWidth="1" outlineLevel="1"/>
    <col min="24" max="24" width="18.140625" style="54" hidden="1" customWidth="1" outlineLevel="1"/>
    <col min="25" max="26" width="18.140625" style="70" hidden="1" customWidth="1" outlineLevel="1"/>
    <col min="27" max="27" width="18.140625" style="54" hidden="1" customWidth="1" outlineLevel="1"/>
    <col min="28" max="28" width="18.140625" style="70" customWidth="1" collapsed="1"/>
    <col min="29" max="31" width="18.140625" style="54"/>
    <col min="32" max="34" width="18.140625" style="54" hidden="1" customWidth="1" outlineLevel="1"/>
    <col min="35" max="35" width="12.7109375" style="54" bestFit="1" customWidth="1" collapsed="1"/>
    <col min="36" max="36" width="0" style="54" hidden="1" customWidth="1" outlineLevel="1"/>
    <col min="37" max="37" width="18.140625" style="54" hidden="1" customWidth="1" outlineLevel="1"/>
    <col min="38" max="38" width="18.140625" style="54" customWidth="1" collapsed="1"/>
    <col min="39" max="39" width="0" style="54" hidden="1" customWidth="1" outlineLevel="1"/>
    <col min="40" max="40" width="18.140625" style="54" hidden="1" customWidth="1" outlineLevel="1"/>
    <col min="41" max="41" width="18.140625" style="54" customWidth="1" collapsed="1"/>
    <col min="42" max="54" width="18.140625" style="54"/>
    <col min="55" max="59" width="18.140625" style="70"/>
    <col min="60" max="60" width="18.140625" style="54"/>
    <col min="61" max="61" width="18.140625" style="70"/>
    <col min="62" max="62" width="18.140625" style="54"/>
    <col min="63" max="68" width="18.140625" style="70"/>
    <col min="69" max="70" width="18.140625" style="54"/>
    <col min="71" max="71" width="18.140625" style="74"/>
    <col min="72" max="75" width="18.140625" style="75"/>
    <col min="76" max="16384" width="18.140625" style="54"/>
  </cols>
  <sheetData>
    <row r="1" spans="1:75" s="52" customFormat="1" ht="47.25" x14ac:dyDescent="0.25">
      <c r="A1" s="52" t="s">
        <v>395</v>
      </c>
      <c r="B1" s="52" t="s">
        <v>396</v>
      </c>
      <c r="C1" s="52" t="s">
        <v>302</v>
      </c>
      <c r="D1" s="52" t="s">
        <v>303</v>
      </c>
      <c r="E1" s="52" t="s">
        <v>226</v>
      </c>
      <c r="F1" s="52" t="s">
        <v>274</v>
      </c>
      <c r="G1" s="52" t="s">
        <v>306</v>
      </c>
      <c r="H1" s="52" t="s">
        <v>307</v>
      </c>
      <c r="I1" s="53" t="s">
        <v>308</v>
      </c>
      <c r="J1" s="53" t="s">
        <v>309</v>
      </c>
      <c r="K1" s="53" t="s">
        <v>310</v>
      </c>
      <c r="L1" s="53" t="s">
        <v>311</v>
      </c>
      <c r="M1" s="53" t="s">
        <v>312</v>
      </c>
      <c r="N1" s="53" t="s">
        <v>313</v>
      </c>
      <c r="O1" s="53" t="s">
        <v>314</v>
      </c>
      <c r="P1" s="53" t="s">
        <v>315</v>
      </c>
      <c r="Q1" s="53" t="s">
        <v>316</v>
      </c>
      <c r="R1" s="53" t="s">
        <v>317</v>
      </c>
      <c r="S1" s="53" t="s">
        <v>318</v>
      </c>
      <c r="T1" s="53" t="s">
        <v>319</v>
      </c>
      <c r="U1" s="77" t="s">
        <v>397</v>
      </c>
      <c r="V1" s="77" t="s">
        <v>398</v>
      </c>
      <c r="W1" s="77" t="s">
        <v>399</v>
      </c>
      <c r="X1" s="52" t="s">
        <v>400</v>
      </c>
      <c r="Y1" s="77" t="s">
        <v>401</v>
      </c>
      <c r="Z1" s="77" t="s">
        <v>320</v>
      </c>
      <c r="AA1" s="52" t="s">
        <v>321</v>
      </c>
      <c r="AB1" s="77" t="s">
        <v>255</v>
      </c>
      <c r="AC1" s="77" t="s">
        <v>322</v>
      </c>
      <c r="AD1" s="77" t="s">
        <v>323</v>
      </c>
      <c r="AE1" s="77" t="s">
        <v>324</v>
      </c>
      <c r="AF1" s="77" t="s">
        <v>325</v>
      </c>
      <c r="AG1" s="77" t="s">
        <v>326</v>
      </c>
      <c r="AH1" s="77" t="s">
        <v>280</v>
      </c>
      <c r="AI1" s="77" t="s">
        <v>327</v>
      </c>
      <c r="AJ1" s="52" t="s">
        <v>328</v>
      </c>
      <c r="AK1" s="52" t="s">
        <v>329</v>
      </c>
      <c r="AL1" s="52" t="s">
        <v>330</v>
      </c>
      <c r="AM1" s="52" t="s">
        <v>331</v>
      </c>
      <c r="AN1" s="52" t="s">
        <v>332</v>
      </c>
      <c r="AO1" s="52" t="s">
        <v>333</v>
      </c>
      <c r="AP1" s="52" t="s">
        <v>402</v>
      </c>
      <c r="AQ1" s="78" t="s">
        <v>335</v>
      </c>
      <c r="AR1" s="79" t="s">
        <v>336</v>
      </c>
      <c r="AS1" s="79" t="s">
        <v>337</v>
      </c>
      <c r="AT1" s="79" t="s">
        <v>338</v>
      </c>
      <c r="AU1" s="79" t="s">
        <v>403</v>
      </c>
      <c r="AV1" s="52" t="s">
        <v>404</v>
      </c>
    </row>
    <row r="2" spans="1:75" x14ac:dyDescent="0.25">
      <c r="A2" s="83" t="s">
        <v>405</v>
      </c>
      <c r="B2" s="83"/>
      <c r="C2" s="83" t="s">
        <v>6</v>
      </c>
      <c r="D2" s="83" t="s">
        <v>78</v>
      </c>
      <c r="E2" s="54" t="str">
        <f>_xlfn.CONCAT(Table1[[#This Row],[Geographic Scope]],": ",Table1[[#This Row],[Sub-Type/Focus]])</f>
        <v>National: Multiple Related Topics</v>
      </c>
      <c r="F2" s="55">
        <f>Table1[[#This Row],[Total Contributed Income]]+Table1[[#This Row],[Total Earned Income]]</f>
        <v>320263</v>
      </c>
      <c r="G2" s="84">
        <f>IFERROR((Table1[[#This Row],[Cont. Income - Foundation]]+Table1[[#This Row],[Cont. Income - Membership]]+Table1[[#This Row],[Cont. Income - Small Donors]]+Table1[[#This Row],[Cont. Income - Med. Donors]]+Table1[[#This Row],[Cont. Income - Major Donors]]+Table1[[#This Row],[Cont. Income - Other]]),0)</f>
        <v>316999</v>
      </c>
      <c r="H2" s="84">
        <f>IFERROR((Table1[[#This Row],[Earned Income - Advertising]]+Table1[[#This Row],[Earned Income - Sponsorships/Underwriting]]+Table1[[#This Row],[Earned Income - Events]]+Table1[[#This Row],[Earned Income - Subscriptions]]+Table1[[#This Row],[Earned Income - Syndication]]+Table1[[#This Row],[Earned Income - Other TOTAL]]),0)</f>
        <v>3264</v>
      </c>
      <c r="I2" s="71">
        <v>285620</v>
      </c>
      <c r="J2" s="71">
        <v>0</v>
      </c>
      <c r="K2" s="71">
        <v>18879</v>
      </c>
      <c r="L2" s="71">
        <v>12500</v>
      </c>
      <c r="M2" s="71">
        <v>0</v>
      </c>
      <c r="N2" s="71">
        <v>0</v>
      </c>
      <c r="O2" s="76" t="s">
        <v>406</v>
      </c>
      <c r="P2" s="71">
        <v>0</v>
      </c>
      <c r="Q2" s="71">
        <v>0</v>
      </c>
      <c r="R2" s="71">
        <v>0</v>
      </c>
      <c r="S2" s="71">
        <v>0</v>
      </c>
      <c r="T2" s="71">
        <v>0</v>
      </c>
      <c r="U2" s="85">
        <f>IFERROR(Table1[[#This Row],[Earned Income - Training Fees]]+Table1[[#This Row],[Earned Income - Fees]]+Table1[[#This Row],[Earned Income - Investments]]+Table1[[#This Row],[Earned Income - Other]],0)</f>
        <v>3264</v>
      </c>
      <c r="V2" s="71">
        <v>0</v>
      </c>
      <c r="W2" s="71">
        <v>3264</v>
      </c>
      <c r="X2" s="83" t="s">
        <v>407</v>
      </c>
      <c r="Y2" s="71">
        <v>0</v>
      </c>
      <c r="Z2" s="71">
        <v>0</v>
      </c>
      <c r="AA2" s="83" t="s">
        <v>406</v>
      </c>
      <c r="AB2" s="85">
        <f t="shared" ref="AB2:AB33" si="0">SUM(AC2:AD2)</f>
        <v>232832</v>
      </c>
      <c r="AC2" s="71">
        <v>182490</v>
      </c>
      <c r="AD2" s="85">
        <f>SUM(Table1[[#This Row],[Expenses - Revenue Generation]:[Expenses - Admin]])</f>
        <v>50342</v>
      </c>
      <c r="AE2" s="71">
        <v>0</v>
      </c>
      <c r="AF2" s="71">
        <v>6720</v>
      </c>
      <c r="AG2" s="71">
        <v>43622</v>
      </c>
      <c r="AH2" s="72">
        <f>Table1[[#This Row],[Total FTE - Editorial]]+Table1[[#This Row],[Total FTE - Non-Editorial]]</f>
        <v>3.5</v>
      </c>
      <c r="AI2" s="72">
        <f>Table1[[#This Row],[FTE Salaried - Editorial]]+Table1[[#This Row],[FTE Contractors - Editorial]]</f>
        <v>3.5</v>
      </c>
      <c r="AJ2" s="56">
        <v>2</v>
      </c>
      <c r="AK2" s="56">
        <v>1.5</v>
      </c>
      <c r="AL2" s="57">
        <f>Table1[[#This Row],[FTE Salaried - Non-Editorial]]+Table1[[#This Row],[FTE Contractors - Non-Editorial]]</f>
        <v>0</v>
      </c>
      <c r="AM2" s="56">
        <v>0</v>
      </c>
      <c r="AN2" s="56">
        <v>0</v>
      </c>
      <c r="AO2" s="83" t="s">
        <v>342</v>
      </c>
      <c r="AP2" s="83" t="s">
        <v>406</v>
      </c>
      <c r="AQ2" s="73">
        <v>40750</v>
      </c>
      <c r="AR2" s="73">
        <v>5500</v>
      </c>
      <c r="AS2" s="73">
        <v>0</v>
      </c>
      <c r="AT2" s="73">
        <v>0</v>
      </c>
      <c r="AU2" s="73">
        <v>0</v>
      </c>
      <c r="AV2" s="83" t="s">
        <v>406</v>
      </c>
      <c r="BC2" s="54"/>
      <c r="BD2" s="54"/>
      <c r="BE2" s="54"/>
      <c r="BF2" s="54"/>
      <c r="BG2" s="54"/>
      <c r="BI2" s="54"/>
      <c r="BK2" s="54"/>
      <c r="BL2" s="54"/>
      <c r="BM2" s="54"/>
      <c r="BN2" s="54"/>
      <c r="BO2" s="54"/>
      <c r="BP2" s="54"/>
      <c r="BS2" s="54"/>
      <c r="BT2" s="54"/>
      <c r="BU2" s="54"/>
      <c r="BV2" s="54"/>
      <c r="BW2" s="54"/>
    </row>
    <row r="3" spans="1:75" x14ac:dyDescent="0.25">
      <c r="A3" s="83" t="s">
        <v>408</v>
      </c>
      <c r="B3" s="83"/>
      <c r="C3" s="83" t="s">
        <v>7</v>
      </c>
      <c r="D3" s="83" t="s">
        <v>79</v>
      </c>
      <c r="E3" s="54" t="str">
        <f>_xlfn.CONCAT(Table1[[#This Row],[Geographic Scope]],": ",Table1[[#This Row],[Sub-Type/Focus]])</f>
        <v>Local: Single-Topic</v>
      </c>
      <c r="F3" s="55">
        <f>Table1[[#This Row],[Total Contributed Income]]+Table1[[#This Row],[Total Earned Income]]</f>
        <v>1142649.53</v>
      </c>
      <c r="G3" s="84">
        <f>IFERROR((Table1[[#This Row],[Cont. Income - Foundation]]+Table1[[#This Row],[Cont. Income - Membership]]+Table1[[#This Row],[Cont. Income - Small Donors]]+Table1[[#This Row],[Cont. Income - Med. Donors]]+Table1[[#This Row],[Cont. Income - Major Donors]]+Table1[[#This Row],[Cont. Income - Other]]),0)</f>
        <v>639936.13</v>
      </c>
      <c r="H3" s="84">
        <f>IFERROR((Table1[[#This Row],[Earned Income - Advertising]]+Table1[[#This Row],[Earned Income - Sponsorships/Underwriting]]+Table1[[#This Row],[Earned Income - Events]]+Table1[[#This Row],[Earned Income - Subscriptions]]+Table1[[#This Row],[Earned Income - Syndication]]+Table1[[#This Row],[Earned Income - Other TOTAL]]),0)</f>
        <v>502713.4</v>
      </c>
      <c r="I3" s="71">
        <v>14000</v>
      </c>
      <c r="J3" s="71">
        <v>0</v>
      </c>
      <c r="K3" s="71">
        <v>49333.13</v>
      </c>
      <c r="L3" s="71">
        <v>45570.04</v>
      </c>
      <c r="M3" s="71">
        <v>531032.96</v>
      </c>
      <c r="N3" s="71">
        <v>0</v>
      </c>
      <c r="O3" s="76" t="s">
        <v>406</v>
      </c>
      <c r="P3" s="71">
        <v>254065</v>
      </c>
      <c r="Q3" s="71">
        <v>0</v>
      </c>
      <c r="R3" s="71">
        <v>3085.67</v>
      </c>
      <c r="S3" s="71">
        <v>213592.77</v>
      </c>
      <c r="T3" s="71">
        <v>0</v>
      </c>
      <c r="U3" s="85">
        <f>IFERROR(Table1[[#This Row],[Earned Income - Training Fees]]+Table1[[#This Row],[Earned Income - Fees]]+Table1[[#This Row],[Earned Income - Investments]]+Table1[[#This Row],[Earned Income - Other]],0)</f>
        <v>31969.96</v>
      </c>
      <c r="V3" s="71">
        <v>0</v>
      </c>
      <c r="W3" s="71">
        <v>0</v>
      </c>
      <c r="X3" s="83" t="s">
        <v>406</v>
      </c>
      <c r="Y3" s="71">
        <v>9047.6299999999992</v>
      </c>
      <c r="Z3" s="71">
        <v>22922.33</v>
      </c>
      <c r="AA3" s="83" t="s">
        <v>409</v>
      </c>
      <c r="AB3" s="85">
        <f t="shared" si="0"/>
        <v>1071841</v>
      </c>
      <c r="AC3" s="71">
        <v>215288</v>
      </c>
      <c r="AD3" s="85">
        <f>SUM(Table1[[#This Row],[Expenses - Revenue Generation]:[Expenses - Admin]])</f>
        <v>856553</v>
      </c>
      <c r="AE3" s="71">
        <v>646726</v>
      </c>
      <c r="AF3" s="71">
        <v>102999</v>
      </c>
      <c r="AG3" s="71">
        <v>106828</v>
      </c>
      <c r="AH3" s="72">
        <f>Table1[[#This Row],[Total FTE - Editorial]]+Table1[[#This Row],[Total FTE - Non-Editorial]]</f>
        <v>11.75</v>
      </c>
      <c r="AI3" s="72">
        <f>Table1[[#This Row],[FTE Salaried - Editorial]]+Table1[[#This Row],[FTE Contractors - Editorial]]</f>
        <v>2</v>
      </c>
      <c r="AJ3" s="56">
        <v>2</v>
      </c>
      <c r="AK3" s="56">
        <v>0</v>
      </c>
      <c r="AL3" s="57">
        <f>Table1[[#This Row],[FTE Salaried - Non-Editorial]]+Table1[[#This Row],[FTE Contractors - Non-Editorial]]</f>
        <v>9.75</v>
      </c>
      <c r="AM3" s="56">
        <v>5.75</v>
      </c>
      <c r="AN3" s="56">
        <v>4</v>
      </c>
      <c r="AO3" s="83" t="s">
        <v>394</v>
      </c>
      <c r="AP3" s="83" t="s">
        <v>406</v>
      </c>
      <c r="AQ3" s="73">
        <v>112704</v>
      </c>
      <c r="AR3" s="73">
        <v>11139</v>
      </c>
      <c r="AS3" s="73">
        <v>84203</v>
      </c>
      <c r="AT3" s="73">
        <v>7</v>
      </c>
      <c r="AU3" s="73">
        <v>0</v>
      </c>
      <c r="AV3" s="83" t="s">
        <v>406</v>
      </c>
      <c r="BC3" s="54"/>
      <c r="BD3" s="54"/>
      <c r="BE3" s="54"/>
      <c r="BF3" s="54"/>
      <c r="BG3" s="54"/>
      <c r="BI3" s="54"/>
      <c r="BK3" s="54"/>
      <c r="BL3" s="54"/>
      <c r="BM3" s="54"/>
      <c r="BN3" s="54"/>
      <c r="BO3" s="54"/>
      <c r="BP3" s="54"/>
      <c r="BS3" s="54"/>
      <c r="BT3" s="54"/>
      <c r="BU3" s="54"/>
      <c r="BV3" s="54"/>
      <c r="BW3" s="54"/>
    </row>
    <row r="4" spans="1:75" x14ac:dyDescent="0.25">
      <c r="A4" s="83" t="s">
        <v>410</v>
      </c>
      <c r="B4" s="83"/>
      <c r="C4" s="83" t="s">
        <v>7</v>
      </c>
      <c r="D4" s="83" t="s">
        <v>77</v>
      </c>
      <c r="E4" s="54" t="str">
        <f>_xlfn.CONCAT(Table1[[#This Row],[Geographic Scope]],": ",Table1[[#This Row],[Sub-Type/Focus]])</f>
        <v>Local: General</v>
      </c>
      <c r="F4" s="55">
        <f>Table1[[#This Row],[Total Contributed Income]]+Table1[[#This Row],[Total Earned Income]]</f>
        <v>124798</v>
      </c>
      <c r="G4" s="84">
        <f>IFERROR((Table1[[#This Row],[Cont. Income - Foundation]]+Table1[[#This Row],[Cont. Income - Membership]]+Table1[[#This Row],[Cont. Income - Small Donors]]+Table1[[#This Row],[Cont. Income - Med. Donors]]+Table1[[#This Row],[Cont. Income - Major Donors]]+Table1[[#This Row],[Cont. Income - Other]]),0)</f>
        <v>124798</v>
      </c>
      <c r="H4" s="84">
        <f>IFERROR((Table1[[#This Row],[Earned Income - Advertising]]+Table1[[#This Row],[Earned Income - Sponsorships/Underwriting]]+Table1[[#This Row],[Earned Income - Events]]+Table1[[#This Row],[Earned Income - Subscriptions]]+Table1[[#This Row],[Earned Income - Syndication]]+Table1[[#This Row],[Earned Income - Other TOTAL]]),0)</f>
        <v>0</v>
      </c>
      <c r="I4" s="71">
        <v>60782</v>
      </c>
      <c r="J4" s="71">
        <v>0</v>
      </c>
      <c r="K4" s="71">
        <v>8416</v>
      </c>
      <c r="L4" s="71">
        <v>15500</v>
      </c>
      <c r="M4" s="71">
        <v>40100</v>
      </c>
      <c r="N4" s="71">
        <v>0</v>
      </c>
      <c r="O4" s="76" t="s">
        <v>406</v>
      </c>
      <c r="P4" s="71">
        <v>0</v>
      </c>
      <c r="Q4" s="71">
        <v>0</v>
      </c>
      <c r="R4" s="71">
        <v>0</v>
      </c>
      <c r="S4" s="71">
        <v>0</v>
      </c>
      <c r="T4" s="71">
        <v>0</v>
      </c>
      <c r="U4" s="85">
        <f>IFERROR(Table1[[#This Row],[Earned Income - Training Fees]]+Table1[[#This Row],[Earned Income - Fees]]+Table1[[#This Row],[Earned Income - Investments]]+Table1[[#This Row],[Earned Income - Other]],0)</f>
        <v>0</v>
      </c>
      <c r="V4" s="71">
        <v>0</v>
      </c>
      <c r="W4" s="71">
        <v>0</v>
      </c>
      <c r="X4" s="83" t="s">
        <v>406</v>
      </c>
      <c r="Y4" s="71">
        <v>0</v>
      </c>
      <c r="Z4" s="71">
        <v>0</v>
      </c>
      <c r="AA4" s="83" t="s">
        <v>406</v>
      </c>
      <c r="AB4" s="85">
        <f t="shared" si="0"/>
        <v>120995</v>
      </c>
      <c r="AC4" s="71">
        <v>102805</v>
      </c>
      <c r="AD4" s="85">
        <f>SUM(Table1[[#This Row],[Expenses - Revenue Generation]:[Expenses - Admin]])</f>
        <v>18190</v>
      </c>
      <c r="AE4" s="71">
        <v>7000</v>
      </c>
      <c r="AF4" s="71">
        <v>2090</v>
      </c>
      <c r="AG4" s="71">
        <v>9100</v>
      </c>
      <c r="AH4" s="72">
        <f>Table1[[#This Row],[Total FTE - Editorial]]+Table1[[#This Row],[Total FTE - Non-Editorial]]</f>
        <v>6</v>
      </c>
      <c r="AI4" s="72">
        <f>Table1[[#This Row],[FTE Salaried - Editorial]]+Table1[[#This Row],[FTE Contractors - Editorial]]</f>
        <v>6</v>
      </c>
      <c r="AJ4" s="56">
        <v>0</v>
      </c>
      <c r="AK4" s="56">
        <v>6</v>
      </c>
      <c r="AL4" s="57">
        <f>Table1[[#This Row],[FTE Salaried - Non-Editorial]]+Table1[[#This Row],[FTE Contractors - Non-Editorial]]</f>
        <v>0</v>
      </c>
      <c r="AM4" s="56">
        <v>0</v>
      </c>
      <c r="AN4" s="56">
        <v>0</v>
      </c>
      <c r="AO4" s="83" t="s">
        <v>342</v>
      </c>
      <c r="AP4" s="83" t="s">
        <v>406</v>
      </c>
      <c r="AQ4" s="73">
        <v>163255</v>
      </c>
      <c r="AR4" s="73">
        <v>0</v>
      </c>
      <c r="AS4" s="73">
        <v>0</v>
      </c>
      <c r="AT4" s="73">
        <v>0</v>
      </c>
      <c r="AU4" s="73">
        <v>0</v>
      </c>
      <c r="AV4" s="83" t="s">
        <v>406</v>
      </c>
      <c r="BC4" s="54"/>
      <c r="BD4" s="54"/>
      <c r="BE4" s="54"/>
      <c r="BF4" s="54"/>
      <c r="BG4" s="54"/>
      <c r="BI4" s="54"/>
      <c r="BK4" s="54"/>
      <c r="BL4" s="54"/>
      <c r="BM4" s="54"/>
      <c r="BN4" s="54"/>
      <c r="BO4" s="54"/>
      <c r="BP4" s="54"/>
      <c r="BS4" s="54"/>
      <c r="BT4" s="54"/>
      <c r="BU4" s="54"/>
      <c r="BV4" s="54"/>
      <c r="BW4" s="54"/>
    </row>
    <row r="5" spans="1:75" x14ac:dyDescent="0.25">
      <c r="A5" s="83" t="s">
        <v>411</v>
      </c>
      <c r="B5" s="83"/>
      <c r="C5" s="83" t="s">
        <v>83</v>
      </c>
      <c r="D5" s="83" t="s">
        <v>77</v>
      </c>
      <c r="E5" s="54" t="str">
        <f>_xlfn.CONCAT(Table1[[#This Row],[Geographic Scope]],": ",Table1[[#This Row],[Sub-Type/Focus]])</f>
        <v>State: General</v>
      </c>
      <c r="F5" s="55">
        <f>Table1[[#This Row],[Total Contributed Income]]+Table1[[#This Row],[Total Earned Income]]</f>
        <v>8285</v>
      </c>
      <c r="G5" s="84">
        <f>IFERROR((Table1[[#This Row],[Cont. Income - Foundation]]+Table1[[#This Row],[Cont. Income - Membership]]+Table1[[#This Row],[Cont. Income - Small Donors]]+Table1[[#This Row],[Cont. Income - Med. Donors]]+Table1[[#This Row],[Cont. Income - Major Donors]]+Table1[[#This Row],[Cont. Income - Other]]),0)</f>
        <v>8257</v>
      </c>
      <c r="H5" s="84">
        <f>IFERROR((Table1[[#This Row],[Earned Income - Advertising]]+Table1[[#This Row],[Earned Income - Sponsorships/Underwriting]]+Table1[[#This Row],[Earned Income - Events]]+Table1[[#This Row],[Earned Income - Subscriptions]]+Table1[[#This Row],[Earned Income - Syndication]]+Table1[[#This Row],[Earned Income - Other TOTAL]]),0)</f>
        <v>28</v>
      </c>
      <c r="I5" s="71">
        <v>6000</v>
      </c>
      <c r="J5" s="71">
        <v>0</v>
      </c>
      <c r="K5" s="71">
        <v>2257</v>
      </c>
      <c r="L5" s="71">
        <v>0</v>
      </c>
      <c r="M5" s="71">
        <v>0</v>
      </c>
      <c r="N5" s="71">
        <v>0</v>
      </c>
      <c r="O5" s="76" t="s">
        <v>406</v>
      </c>
      <c r="P5" s="71">
        <v>0</v>
      </c>
      <c r="Q5" s="71">
        <v>0</v>
      </c>
      <c r="R5" s="71">
        <v>0</v>
      </c>
      <c r="S5" s="71">
        <v>0</v>
      </c>
      <c r="T5" s="71">
        <v>0</v>
      </c>
      <c r="U5" s="85">
        <f>IFERROR(Table1[[#This Row],[Earned Income - Training Fees]]+Table1[[#This Row],[Earned Income - Fees]]+Table1[[#This Row],[Earned Income - Investments]]+Table1[[#This Row],[Earned Income - Other]],0)</f>
        <v>28</v>
      </c>
      <c r="V5" s="71">
        <v>0</v>
      </c>
      <c r="W5" s="71">
        <v>0</v>
      </c>
      <c r="X5" s="83" t="s">
        <v>406</v>
      </c>
      <c r="Y5" s="71">
        <v>28</v>
      </c>
      <c r="Z5" s="71">
        <v>0</v>
      </c>
      <c r="AA5" s="83" t="s">
        <v>406</v>
      </c>
      <c r="AB5" s="85">
        <f t="shared" si="0"/>
        <v>27000</v>
      </c>
      <c r="AC5" s="71">
        <v>10000</v>
      </c>
      <c r="AD5" s="85">
        <f>SUM(Table1[[#This Row],[Expenses - Revenue Generation]:[Expenses - Admin]])</f>
        <v>17000</v>
      </c>
      <c r="AE5" s="71">
        <v>2000</v>
      </c>
      <c r="AF5" s="71">
        <v>5000</v>
      </c>
      <c r="AG5" s="71">
        <v>10000</v>
      </c>
      <c r="AH5" s="72">
        <f>Table1[[#This Row],[Total FTE - Editorial]]+Table1[[#This Row],[Total FTE - Non-Editorial]]</f>
        <v>2</v>
      </c>
      <c r="AI5" s="72">
        <f>Table1[[#This Row],[FTE Salaried - Editorial]]+Table1[[#This Row],[FTE Contractors - Editorial]]</f>
        <v>2</v>
      </c>
      <c r="AJ5" s="56">
        <v>1</v>
      </c>
      <c r="AK5" s="56">
        <v>1</v>
      </c>
      <c r="AL5" s="57">
        <f>Table1[[#This Row],[FTE Salaried - Non-Editorial]]+Table1[[#This Row],[FTE Contractors - Non-Editorial]]</f>
        <v>0</v>
      </c>
      <c r="AM5" s="56">
        <v>0</v>
      </c>
      <c r="AN5" s="56">
        <v>0</v>
      </c>
      <c r="AO5" s="83" t="s">
        <v>342</v>
      </c>
      <c r="AP5" s="83" t="s">
        <v>406</v>
      </c>
      <c r="AQ5" s="73">
        <v>2500</v>
      </c>
      <c r="AR5" s="73">
        <v>935</v>
      </c>
      <c r="AS5" s="73">
        <v>0</v>
      </c>
      <c r="AT5" s="73">
        <v>0</v>
      </c>
      <c r="AU5" s="73">
        <v>0</v>
      </c>
      <c r="AV5" s="83" t="s">
        <v>406</v>
      </c>
      <c r="BC5" s="54"/>
      <c r="BD5" s="54"/>
      <c r="BE5" s="54"/>
      <c r="BF5" s="54"/>
      <c r="BG5" s="54"/>
      <c r="BI5" s="54"/>
      <c r="BK5" s="54"/>
      <c r="BL5" s="54"/>
      <c r="BM5" s="54"/>
      <c r="BN5" s="54"/>
      <c r="BO5" s="54"/>
      <c r="BP5" s="54"/>
      <c r="BS5" s="54"/>
      <c r="BT5" s="54"/>
      <c r="BU5" s="54"/>
      <c r="BV5" s="54"/>
      <c r="BW5" s="54"/>
    </row>
    <row r="6" spans="1:75" x14ac:dyDescent="0.25">
      <c r="A6" s="83" t="s">
        <v>412</v>
      </c>
      <c r="B6" s="83"/>
      <c r="C6" s="83" t="s">
        <v>7</v>
      </c>
      <c r="D6" s="83" t="s">
        <v>78</v>
      </c>
      <c r="E6" s="54" t="str">
        <f>_xlfn.CONCAT(Table1[[#This Row],[Geographic Scope]],": ",Table1[[#This Row],[Sub-Type/Focus]])</f>
        <v>Local: Multiple Related Topics</v>
      </c>
      <c r="F6" s="55">
        <f>Table1[[#This Row],[Total Contributed Income]]+Table1[[#This Row],[Total Earned Income]]</f>
        <v>311093</v>
      </c>
      <c r="G6" s="84">
        <f>IFERROR((Table1[[#This Row],[Cont. Income - Foundation]]+Table1[[#This Row],[Cont. Income - Membership]]+Table1[[#This Row],[Cont. Income - Small Donors]]+Table1[[#This Row],[Cont. Income - Med. Donors]]+Table1[[#This Row],[Cont. Income - Major Donors]]+Table1[[#This Row],[Cont. Income - Other]]),0)</f>
        <v>293843</v>
      </c>
      <c r="H6" s="84">
        <f>IFERROR((Table1[[#This Row],[Earned Income - Advertising]]+Table1[[#This Row],[Earned Income - Sponsorships/Underwriting]]+Table1[[#This Row],[Earned Income - Events]]+Table1[[#This Row],[Earned Income - Subscriptions]]+Table1[[#This Row],[Earned Income - Syndication]]+Table1[[#This Row],[Earned Income - Other TOTAL]]),0)</f>
        <v>17250</v>
      </c>
      <c r="I6" s="71">
        <v>190000</v>
      </c>
      <c r="J6" s="71">
        <v>0</v>
      </c>
      <c r="K6" s="71">
        <v>12872</v>
      </c>
      <c r="L6" s="71">
        <v>69971</v>
      </c>
      <c r="M6" s="71">
        <v>21000</v>
      </c>
      <c r="N6" s="71">
        <v>0</v>
      </c>
      <c r="O6" s="76" t="s">
        <v>406</v>
      </c>
      <c r="P6" s="71">
        <v>0</v>
      </c>
      <c r="Q6" s="71">
        <v>0</v>
      </c>
      <c r="R6" s="71">
        <v>0</v>
      </c>
      <c r="S6" s="71">
        <v>0</v>
      </c>
      <c r="T6" s="71">
        <v>0</v>
      </c>
      <c r="U6" s="85">
        <f>IFERROR(Table1[[#This Row],[Earned Income - Training Fees]]+Table1[[#This Row],[Earned Income - Fees]]+Table1[[#This Row],[Earned Income - Investments]]+Table1[[#This Row],[Earned Income - Other]],0)</f>
        <v>17250</v>
      </c>
      <c r="V6" s="71">
        <v>0</v>
      </c>
      <c r="W6" s="71">
        <v>17250</v>
      </c>
      <c r="X6" s="83" t="s">
        <v>413</v>
      </c>
      <c r="Y6" s="71">
        <v>0</v>
      </c>
      <c r="Z6" s="71">
        <v>0</v>
      </c>
      <c r="AA6" s="83" t="s">
        <v>406</v>
      </c>
      <c r="AB6" s="85">
        <f t="shared" si="0"/>
        <v>286543</v>
      </c>
      <c r="AC6" s="71">
        <v>213425</v>
      </c>
      <c r="AD6" s="85">
        <f>SUM(Table1[[#This Row],[Expenses - Revenue Generation]:[Expenses - Admin]])</f>
        <v>73118</v>
      </c>
      <c r="AE6" s="71">
        <v>45261</v>
      </c>
      <c r="AF6" s="71">
        <v>6408</v>
      </c>
      <c r="AG6" s="71">
        <v>21449</v>
      </c>
      <c r="AH6" s="72">
        <f>Table1[[#This Row],[Total FTE - Editorial]]+Table1[[#This Row],[Total FTE - Non-Editorial]]</f>
        <v>4.5</v>
      </c>
      <c r="AI6" s="72">
        <f>Table1[[#This Row],[FTE Salaried - Editorial]]+Table1[[#This Row],[FTE Contractors - Editorial]]</f>
        <v>3.75</v>
      </c>
      <c r="AJ6" s="56">
        <v>2.5</v>
      </c>
      <c r="AK6" s="56">
        <v>1.25</v>
      </c>
      <c r="AL6" s="57">
        <f>Table1[[#This Row],[FTE Salaried - Non-Editorial]]+Table1[[#This Row],[FTE Contractors - Non-Editorial]]</f>
        <v>0.75</v>
      </c>
      <c r="AM6" s="56">
        <v>0.5</v>
      </c>
      <c r="AN6" s="56">
        <v>0.25</v>
      </c>
      <c r="AO6" s="83" t="s">
        <v>343</v>
      </c>
      <c r="AP6" s="83" t="s">
        <v>414</v>
      </c>
      <c r="AQ6" s="73">
        <v>67217</v>
      </c>
      <c r="AR6" s="73">
        <v>900</v>
      </c>
      <c r="AS6" s="73">
        <v>0</v>
      </c>
      <c r="AT6" s="73">
        <v>0</v>
      </c>
      <c r="AU6" s="73">
        <v>0</v>
      </c>
      <c r="AV6" s="83" t="s">
        <v>406</v>
      </c>
      <c r="BC6" s="54"/>
      <c r="BD6" s="54"/>
      <c r="BE6" s="54"/>
      <c r="BF6" s="54"/>
      <c r="BG6" s="54"/>
      <c r="BI6" s="54"/>
      <c r="BK6" s="54"/>
      <c r="BL6" s="54"/>
      <c r="BM6" s="54"/>
      <c r="BN6" s="54"/>
      <c r="BO6" s="54"/>
      <c r="BP6" s="54"/>
      <c r="BS6" s="54"/>
      <c r="BT6" s="54"/>
      <c r="BU6" s="54"/>
      <c r="BV6" s="54"/>
      <c r="BW6" s="54"/>
    </row>
    <row r="7" spans="1:75" x14ac:dyDescent="0.25">
      <c r="A7" s="83" t="s">
        <v>415</v>
      </c>
      <c r="B7" s="83"/>
      <c r="C7" s="83" t="s">
        <v>7</v>
      </c>
      <c r="D7" s="83" t="s">
        <v>78</v>
      </c>
      <c r="E7" s="54" t="str">
        <f>_xlfn.CONCAT(Table1[[#This Row],[Geographic Scope]],": ",Table1[[#This Row],[Sub-Type/Focus]])</f>
        <v>Local: Multiple Related Topics</v>
      </c>
      <c r="F7" s="55">
        <f>Table1[[#This Row],[Total Contributed Income]]+Table1[[#This Row],[Total Earned Income]]</f>
        <v>408985</v>
      </c>
      <c r="G7" s="84">
        <f>IFERROR((Table1[[#This Row],[Cont. Income - Foundation]]+Table1[[#This Row],[Cont. Income - Membership]]+Table1[[#This Row],[Cont. Income - Small Donors]]+Table1[[#This Row],[Cont. Income - Med. Donors]]+Table1[[#This Row],[Cont. Income - Major Donors]]+Table1[[#This Row],[Cont. Income - Other]]),0)</f>
        <v>192603</v>
      </c>
      <c r="H7" s="84">
        <f>IFERROR((Table1[[#This Row],[Earned Income - Advertising]]+Table1[[#This Row],[Earned Income - Sponsorships/Underwriting]]+Table1[[#This Row],[Earned Income - Events]]+Table1[[#This Row],[Earned Income - Subscriptions]]+Table1[[#This Row],[Earned Income - Syndication]]+Table1[[#This Row],[Earned Income - Other TOTAL]]),0)</f>
        <v>216382</v>
      </c>
      <c r="I7" s="71">
        <v>4422</v>
      </c>
      <c r="J7" s="71">
        <v>0</v>
      </c>
      <c r="K7" s="71">
        <v>12681</v>
      </c>
      <c r="L7" s="71">
        <v>40500</v>
      </c>
      <c r="M7" s="71">
        <v>135000</v>
      </c>
      <c r="N7" s="71">
        <v>0</v>
      </c>
      <c r="O7" s="76" t="s">
        <v>406</v>
      </c>
      <c r="P7" s="71">
        <v>0</v>
      </c>
      <c r="Q7" s="71">
        <v>0</v>
      </c>
      <c r="R7" s="71">
        <v>0</v>
      </c>
      <c r="S7" s="71">
        <v>212965</v>
      </c>
      <c r="T7" s="71">
        <v>3417</v>
      </c>
      <c r="U7" s="85">
        <f>IFERROR(Table1[[#This Row],[Earned Income - Training Fees]]+Table1[[#This Row],[Earned Income - Fees]]+Table1[[#This Row],[Earned Income - Investments]]+Table1[[#This Row],[Earned Income - Other]],0)</f>
        <v>0</v>
      </c>
      <c r="V7" s="71">
        <v>0</v>
      </c>
      <c r="W7" s="71">
        <v>0</v>
      </c>
      <c r="X7" s="83" t="s">
        <v>406</v>
      </c>
      <c r="Y7" s="71">
        <v>0</v>
      </c>
      <c r="Z7" s="71">
        <v>0</v>
      </c>
      <c r="AA7" s="83" t="s">
        <v>406</v>
      </c>
      <c r="AB7" s="85">
        <f t="shared" si="0"/>
        <v>421685</v>
      </c>
      <c r="AC7" s="71">
        <v>253257</v>
      </c>
      <c r="AD7" s="85">
        <f>SUM(Table1[[#This Row],[Expenses - Revenue Generation]:[Expenses - Admin]])</f>
        <v>168428</v>
      </c>
      <c r="AE7" s="71">
        <v>34180</v>
      </c>
      <c r="AF7" s="71">
        <v>6812</v>
      </c>
      <c r="AG7" s="71">
        <v>127436</v>
      </c>
      <c r="AH7" s="72">
        <f>Table1[[#This Row],[Total FTE - Editorial]]+Table1[[#This Row],[Total FTE - Non-Editorial]]</f>
        <v>7</v>
      </c>
      <c r="AI7" s="72">
        <f>Table1[[#This Row],[FTE Salaried - Editorial]]+Table1[[#This Row],[FTE Contractors - Editorial]]</f>
        <v>5</v>
      </c>
      <c r="AJ7" s="56">
        <v>1</v>
      </c>
      <c r="AK7" s="56">
        <v>4</v>
      </c>
      <c r="AL7" s="57">
        <f>Table1[[#This Row],[FTE Salaried - Non-Editorial]]+Table1[[#This Row],[FTE Contractors - Non-Editorial]]</f>
        <v>2</v>
      </c>
      <c r="AM7" s="56">
        <v>2</v>
      </c>
      <c r="AN7" s="56">
        <v>0</v>
      </c>
      <c r="AO7" s="83" t="s">
        <v>342</v>
      </c>
      <c r="AP7" s="83" t="s">
        <v>406</v>
      </c>
      <c r="AQ7" s="73">
        <v>44222</v>
      </c>
      <c r="AR7" s="73">
        <v>3747</v>
      </c>
      <c r="AS7" s="73">
        <v>0</v>
      </c>
      <c r="AT7" s="73">
        <v>0</v>
      </c>
      <c r="AU7" s="73">
        <v>0</v>
      </c>
      <c r="AV7" s="83" t="s">
        <v>406</v>
      </c>
      <c r="BC7" s="54"/>
      <c r="BD7" s="54"/>
      <c r="BE7" s="54"/>
      <c r="BF7" s="54"/>
      <c r="BG7" s="54"/>
      <c r="BI7" s="54"/>
      <c r="BK7" s="54"/>
      <c r="BL7" s="54"/>
      <c r="BM7" s="54"/>
      <c r="BN7" s="54"/>
      <c r="BO7" s="54"/>
      <c r="BP7" s="54"/>
      <c r="BS7" s="54"/>
      <c r="BT7" s="54"/>
      <c r="BU7" s="54"/>
      <c r="BV7" s="54"/>
      <c r="BW7" s="54"/>
    </row>
    <row r="8" spans="1:75" x14ac:dyDescent="0.25">
      <c r="A8" s="83" t="s">
        <v>416</v>
      </c>
      <c r="B8" s="83"/>
      <c r="C8" s="83" t="s">
        <v>7</v>
      </c>
      <c r="D8" s="83" t="s">
        <v>79</v>
      </c>
      <c r="E8" s="54" t="str">
        <f>_xlfn.CONCAT(Table1[[#This Row],[Geographic Scope]],": ",Table1[[#This Row],[Sub-Type/Focus]])</f>
        <v>Local: Single-Topic</v>
      </c>
      <c r="F8" s="55">
        <f>Table1[[#This Row],[Total Contributed Income]]+Table1[[#This Row],[Total Earned Income]]</f>
        <v>906931</v>
      </c>
      <c r="G8" s="84">
        <f>IFERROR((Table1[[#This Row],[Cont. Income - Foundation]]+Table1[[#This Row],[Cont. Income - Membership]]+Table1[[#This Row],[Cont. Income - Small Donors]]+Table1[[#This Row],[Cont. Income - Med. Donors]]+Table1[[#This Row],[Cont. Income - Major Donors]]+Table1[[#This Row],[Cont. Income - Other]]),0)</f>
        <v>500733</v>
      </c>
      <c r="H8" s="84">
        <f>IFERROR((Table1[[#This Row],[Earned Income - Advertising]]+Table1[[#This Row],[Earned Income - Sponsorships/Underwriting]]+Table1[[#This Row],[Earned Income - Events]]+Table1[[#This Row],[Earned Income - Subscriptions]]+Table1[[#This Row],[Earned Income - Syndication]]+Table1[[#This Row],[Earned Income - Other TOTAL]]),0)</f>
        <v>406198</v>
      </c>
      <c r="I8" s="71">
        <v>109110</v>
      </c>
      <c r="J8" s="71">
        <v>0</v>
      </c>
      <c r="K8" s="71">
        <v>160096</v>
      </c>
      <c r="L8" s="71">
        <v>75958</v>
      </c>
      <c r="M8" s="71">
        <v>33164</v>
      </c>
      <c r="N8" s="71">
        <v>122405</v>
      </c>
      <c r="O8" s="76" t="s">
        <v>417</v>
      </c>
      <c r="P8" s="71">
        <v>169553</v>
      </c>
      <c r="Q8" s="71">
        <v>87651</v>
      </c>
      <c r="R8" s="71">
        <v>0</v>
      </c>
      <c r="S8" s="71">
        <v>128054</v>
      </c>
      <c r="T8" s="71">
        <v>0</v>
      </c>
      <c r="U8" s="85">
        <f>IFERROR(Table1[[#This Row],[Earned Income - Training Fees]]+Table1[[#This Row],[Earned Income - Fees]]+Table1[[#This Row],[Earned Income - Investments]]+Table1[[#This Row],[Earned Income - Other]],0)</f>
        <v>20940</v>
      </c>
      <c r="V8" s="71">
        <v>0</v>
      </c>
      <c r="W8" s="71">
        <v>0</v>
      </c>
      <c r="X8" s="83" t="s">
        <v>406</v>
      </c>
      <c r="Y8" s="71">
        <v>0</v>
      </c>
      <c r="Z8" s="71">
        <v>20940</v>
      </c>
      <c r="AA8" s="83" t="s">
        <v>418</v>
      </c>
      <c r="AB8" s="85">
        <f t="shared" si="0"/>
        <v>982865</v>
      </c>
      <c r="AC8" s="71">
        <v>382828</v>
      </c>
      <c r="AD8" s="85">
        <f>SUM(Table1[[#This Row],[Expenses - Revenue Generation]:[Expenses - Admin]])</f>
        <v>600037</v>
      </c>
      <c r="AE8" s="71">
        <v>435500</v>
      </c>
      <c r="AF8" s="71">
        <v>54037</v>
      </c>
      <c r="AG8" s="71">
        <v>110500</v>
      </c>
      <c r="AH8" s="72">
        <f>Table1[[#This Row],[Total FTE - Editorial]]+Table1[[#This Row],[Total FTE - Non-Editorial]]</f>
        <v>8.9</v>
      </c>
      <c r="AI8" s="72">
        <f>Table1[[#This Row],[FTE Salaried - Editorial]]+Table1[[#This Row],[FTE Contractors - Editorial]]</f>
        <v>3.6</v>
      </c>
      <c r="AJ8" s="56">
        <v>3</v>
      </c>
      <c r="AK8" s="56">
        <v>0.6</v>
      </c>
      <c r="AL8" s="57">
        <f>Table1[[#This Row],[FTE Salaried - Non-Editorial]]+Table1[[#This Row],[FTE Contractors - Non-Editorial]]</f>
        <v>5.3</v>
      </c>
      <c r="AM8" s="56">
        <v>4.7</v>
      </c>
      <c r="AN8" s="56">
        <v>0.6</v>
      </c>
      <c r="AO8" s="83" t="s">
        <v>394</v>
      </c>
      <c r="AP8" s="83" t="s">
        <v>406</v>
      </c>
      <c r="AQ8" s="73">
        <v>937943</v>
      </c>
      <c r="AR8" s="73">
        <v>15000</v>
      </c>
      <c r="AS8" s="73">
        <v>8500</v>
      </c>
      <c r="AT8" s="73">
        <v>1</v>
      </c>
      <c r="AU8" s="73">
        <v>0</v>
      </c>
      <c r="AV8" s="83" t="s">
        <v>406</v>
      </c>
      <c r="BC8" s="54"/>
      <c r="BD8" s="54"/>
      <c r="BE8" s="54"/>
      <c r="BF8" s="54"/>
      <c r="BG8" s="54"/>
      <c r="BI8" s="54"/>
      <c r="BK8" s="54"/>
      <c r="BL8" s="54"/>
      <c r="BM8" s="54"/>
      <c r="BN8" s="54"/>
      <c r="BO8" s="54"/>
      <c r="BP8" s="54"/>
      <c r="BS8" s="54"/>
      <c r="BT8" s="54"/>
      <c r="BU8" s="54"/>
      <c r="BV8" s="54"/>
      <c r="BW8" s="54"/>
    </row>
    <row r="9" spans="1:75" x14ac:dyDescent="0.25">
      <c r="A9" s="83" t="s">
        <v>419</v>
      </c>
      <c r="B9" s="83"/>
      <c r="C9" s="83" t="s">
        <v>378</v>
      </c>
      <c r="D9" s="83" t="s">
        <v>78</v>
      </c>
      <c r="E9" s="54" t="str">
        <f>_xlfn.CONCAT(Table1[[#This Row],[Geographic Scope]],": ",Table1[[#This Row],[Sub-Type/Focus]])</f>
        <v>Regional: Multiple Related Topics</v>
      </c>
      <c r="F9" s="55">
        <f>Table1[[#This Row],[Total Contributed Income]]+Table1[[#This Row],[Total Earned Income]]</f>
        <v>99570</v>
      </c>
      <c r="G9" s="84">
        <f>IFERROR((Table1[[#This Row],[Cont. Income - Foundation]]+Table1[[#This Row],[Cont. Income - Membership]]+Table1[[#This Row],[Cont. Income - Small Donors]]+Table1[[#This Row],[Cont. Income - Med. Donors]]+Table1[[#This Row],[Cont. Income - Major Donors]]+Table1[[#This Row],[Cont. Income - Other]]),0)</f>
        <v>99570</v>
      </c>
      <c r="H9" s="84">
        <f>IFERROR((Table1[[#This Row],[Earned Income - Advertising]]+Table1[[#This Row],[Earned Income - Sponsorships/Underwriting]]+Table1[[#This Row],[Earned Income - Events]]+Table1[[#This Row],[Earned Income - Subscriptions]]+Table1[[#This Row],[Earned Income - Syndication]]+Table1[[#This Row],[Earned Income - Other TOTAL]]),0)</f>
        <v>0</v>
      </c>
      <c r="I9" s="71">
        <v>37691</v>
      </c>
      <c r="J9" s="71">
        <v>20240</v>
      </c>
      <c r="K9" s="71">
        <v>1639</v>
      </c>
      <c r="L9" s="71">
        <v>1000</v>
      </c>
      <c r="M9" s="71">
        <v>39000</v>
      </c>
      <c r="N9" s="71">
        <v>0</v>
      </c>
      <c r="O9" s="76" t="s">
        <v>406</v>
      </c>
      <c r="P9" s="71">
        <v>0</v>
      </c>
      <c r="Q9" s="71">
        <v>0</v>
      </c>
      <c r="R9" s="71">
        <v>0</v>
      </c>
      <c r="S9" s="71">
        <v>0</v>
      </c>
      <c r="T9" s="71">
        <v>0</v>
      </c>
      <c r="U9" s="85">
        <f>IFERROR(Table1[[#This Row],[Earned Income - Training Fees]]+Table1[[#This Row],[Earned Income - Fees]]+Table1[[#This Row],[Earned Income - Investments]]+Table1[[#This Row],[Earned Income - Other]],0)</f>
        <v>0</v>
      </c>
      <c r="V9" s="71">
        <v>0</v>
      </c>
      <c r="W9" s="71">
        <v>0</v>
      </c>
      <c r="X9" s="83" t="s">
        <v>406</v>
      </c>
      <c r="Y9" s="71">
        <v>0</v>
      </c>
      <c r="Z9" s="71">
        <v>0</v>
      </c>
      <c r="AA9" s="83" t="s">
        <v>406</v>
      </c>
      <c r="AB9" s="85">
        <f t="shared" si="0"/>
        <v>93811</v>
      </c>
      <c r="AC9" s="71">
        <v>57711</v>
      </c>
      <c r="AD9" s="85">
        <f>SUM(Table1[[#This Row],[Expenses - Revenue Generation]:[Expenses - Admin]])</f>
        <v>36100</v>
      </c>
      <c r="AE9" s="71">
        <v>15512</v>
      </c>
      <c r="AF9" s="71">
        <v>4847</v>
      </c>
      <c r="AG9" s="71">
        <v>15741</v>
      </c>
      <c r="AH9" s="72">
        <f>Table1[[#This Row],[Total FTE - Editorial]]+Table1[[#This Row],[Total FTE - Non-Editorial]]</f>
        <v>1.5</v>
      </c>
      <c r="AI9" s="72">
        <f>Table1[[#This Row],[FTE Salaried - Editorial]]+Table1[[#This Row],[FTE Contractors - Editorial]]</f>
        <v>1.5</v>
      </c>
      <c r="AJ9" s="56">
        <v>1</v>
      </c>
      <c r="AK9" s="56">
        <v>0.5</v>
      </c>
      <c r="AL9" s="57">
        <f>Table1[[#This Row],[FTE Salaried - Non-Editorial]]+Table1[[#This Row],[FTE Contractors - Non-Editorial]]</f>
        <v>0</v>
      </c>
      <c r="AM9" s="56">
        <v>0</v>
      </c>
      <c r="AN9" s="56">
        <v>0</v>
      </c>
      <c r="AO9" s="83" t="s">
        <v>342</v>
      </c>
      <c r="AP9" s="83" t="s">
        <v>406</v>
      </c>
      <c r="AQ9" s="73">
        <v>21250</v>
      </c>
      <c r="AR9" s="73">
        <v>5200</v>
      </c>
      <c r="AS9" s="73">
        <v>300</v>
      </c>
      <c r="AT9" s="73">
        <v>1</v>
      </c>
      <c r="AU9" s="73">
        <v>0</v>
      </c>
      <c r="AV9" s="83" t="s">
        <v>406</v>
      </c>
      <c r="BC9" s="54"/>
      <c r="BD9" s="54"/>
      <c r="BE9" s="54"/>
      <c r="BF9" s="54"/>
      <c r="BG9" s="54"/>
      <c r="BI9" s="54"/>
      <c r="BK9" s="54"/>
      <c r="BL9" s="54"/>
      <c r="BM9" s="54"/>
      <c r="BN9" s="54"/>
      <c r="BO9" s="54"/>
      <c r="BP9" s="54"/>
      <c r="BS9" s="54"/>
      <c r="BT9" s="54"/>
      <c r="BU9" s="54"/>
      <c r="BV9" s="54"/>
      <c r="BW9" s="54"/>
    </row>
    <row r="10" spans="1:75" x14ac:dyDescent="0.25">
      <c r="A10" s="83" t="s">
        <v>420</v>
      </c>
      <c r="B10" s="83"/>
      <c r="C10" s="83" t="s">
        <v>7</v>
      </c>
      <c r="D10" s="83" t="s">
        <v>77</v>
      </c>
      <c r="E10" s="54" t="str">
        <f>_xlfn.CONCAT(Table1[[#This Row],[Geographic Scope]],": ",Table1[[#This Row],[Sub-Type/Focus]])</f>
        <v>Local: General</v>
      </c>
      <c r="F10" s="55">
        <f>Table1[[#This Row],[Total Contributed Income]]+Table1[[#This Row],[Total Earned Income]]</f>
        <v>177657</v>
      </c>
      <c r="G10" s="84">
        <f>IFERROR((Table1[[#This Row],[Cont. Income - Foundation]]+Table1[[#This Row],[Cont. Income - Membership]]+Table1[[#This Row],[Cont. Income - Small Donors]]+Table1[[#This Row],[Cont. Income - Med. Donors]]+Table1[[#This Row],[Cont. Income - Major Donors]]+Table1[[#This Row],[Cont. Income - Other]]),0)</f>
        <v>110244</v>
      </c>
      <c r="H10" s="84">
        <f>IFERROR((Table1[[#This Row],[Earned Income - Advertising]]+Table1[[#This Row],[Earned Income - Sponsorships/Underwriting]]+Table1[[#This Row],[Earned Income - Events]]+Table1[[#This Row],[Earned Income - Subscriptions]]+Table1[[#This Row],[Earned Income - Syndication]]+Table1[[#This Row],[Earned Income - Other TOTAL]]),0)</f>
        <v>67413</v>
      </c>
      <c r="I10" s="71">
        <v>47586</v>
      </c>
      <c r="J10" s="71">
        <v>0</v>
      </c>
      <c r="K10" s="71">
        <v>15158</v>
      </c>
      <c r="L10" s="71">
        <v>16200</v>
      </c>
      <c r="M10" s="71">
        <v>19300</v>
      </c>
      <c r="N10" s="71">
        <v>12000</v>
      </c>
      <c r="O10" s="76" t="s">
        <v>421</v>
      </c>
      <c r="P10" s="71">
        <v>50</v>
      </c>
      <c r="Q10" s="71">
        <v>63921</v>
      </c>
      <c r="R10" s="71">
        <v>3329</v>
      </c>
      <c r="S10" s="71">
        <v>0</v>
      </c>
      <c r="T10" s="71">
        <v>0</v>
      </c>
      <c r="U10" s="85">
        <f>IFERROR(Table1[[#This Row],[Earned Income - Training Fees]]+Table1[[#This Row],[Earned Income - Fees]]+Table1[[#This Row],[Earned Income - Investments]]+Table1[[#This Row],[Earned Income - Other]],0)</f>
        <v>113</v>
      </c>
      <c r="V10" s="71">
        <v>0</v>
      </c>
      <c r="W10" s="71">
        <v>0</v>
      </c>
      <c r="X10" s="83" t="s">
        <v>406</v>
      </c>
      <c r="Y10" s="71">
        <v>0</v>
      </c>
      <c r="Z10" s="71">
        <v>113</v>
      </c>
      <c r="AA10" s="83" t="s">
        <v>369</v>
      </c>
      <c r="AB10" s="85">
        <f t="shared" si="0"/>
        <v>230040.43</v>
      </c>
      <c r="AC10" s="71">
        <v>107093.01</v>
      </c>
      <c r="AD10" s="85">
        <f>SUM(Table1[[#This Row],[Expenses - Revenue Generation]:[Expenses - Admin]])</f>
        <v>122947.42</v>
      </c>
      <c r="AE10" s="71">
        <v>81951.86</v>
      </c>
      <c r="AF10" s="71">
        <v>15363.55</v>
      </c>
      <c r="AG10" s="71">
        <v>25632.01</v>
      </c>
      <c r="AH10" s="72">
        <f>Table1[[#This Row],[Total FTE - Editorial]]+Table1[[#This Row],[Total FTE - Non-Editorial]]</f>
        <v>5</v>
      </c>
      <c r="AI10" s="72">
        <f>Table1[[#This Row],[FTE Salaried - Editorial]]+Table1[[#This Row],[FTE Contractors - Editorial]]</f>
        <v>3</v>
      </c>
      <c r="AJ10" s="56">
        <v>0</v>
      </c>
      <c r="AK10" s="56">
        <v>3</v>
      </c>
      <c r="AL10" s="57">
        <f>Table1[[#This Row],[FTE Salaried - Non-Editorial]]+Table1[[#This Row],[FTE Contractors - Non-Editorial]]</f>
        <v>2</v>
      </c>
      <c r="AM10" s="56">
        <v>1.75</v>
      </c>
      <c r="AN10" s="56">
        <v>0.25</v>
      </c>
      <c r="AO10" s="83" t="s">
        <v>342</v>
      </c>
      <c r="AP10" s="83" t="s">
        <v>406</v>
      </c>
      <c r="AQ10" s="73">
        <v>24672</v>
      </c>
      <c r="AR10" s="73">
        <v>2500</v>
      </c>
      <c r="AS10" s="73">
        <v>0</v>
      </c>
      <c r="AT10" s="73">
        <v>0</v>
      </c>
      <c r="AU10" s="73">
        <v>0</v>
      </c>
      <c r="AV10" s="83" t="s">
        <v>406</v>
      </c>
      <c r="BC10" s="54"/>
      <c r="BD10" s="54"/>
      <c r="BE10" s="54"/>
      <c r="BF10" s="54"/>
      <c r="BG10" s="54"/>
      <c r="BI10" s="54"/>
      <c r="BK10" s="54"/>
      <c r="BL10" s="54"/>
      <c r="BM10" s="54"/>
      <c r="BN10" s="54"/>
      <c r="BO10" s="54"/>
      <c r="BP10" s="54"/>
      <c r="BS10" s="54"/>
      <c r="BT10" s="54"/>
      <c r="BU10" s="54"/>
      <c r="BV10" s="54"/>
      <c r="BW10" s="54"/>
    </row>
    <row r="11" spans="1:75" x14ac:dyDescent="0.25">
      <c r="A11" s="83" t="s">
        <v>422</v>
      </c>
      <c r="B11" s="83"/>
      <c r="C11" s="83" t="s">
        <v>378</v>
      </c>
      <c r="D11" s="80" t="s">
        <v>78</v>
      </c>
      <c r="E11" s="54" t="str">
        <f>_xlfn.CONCAT(Table1[[#This Row],[Geographic Scope]],": ",Table1[[#This Row],[Sub-Type/Focus]])</f>
        <v>Regional: Multiple Related Topics</v>
      </c>
      <c r="F11" s="55">
        <f>Table1[[#This Row],[Total Contributed Income]]+Table1[[#This Row],[Total Earned Income]]</f>
        <v>47158</v>
      </c>
      <c r="G11" s="84">
        <f>IFERROR((Table1[[#This Row],[Cont. Income - Foundation]]+Table1[[#This Row],[Cont. Income - Membership]]+Table1[[#This Row],[Cont. Income - Small Donors]]+Table1[[#This Row],[Cont. Income - Med. Donors]]+Table1[[#This Row],[Cont. Income - Major Donors]]+Table1[[#This Row],[Cont. Income - Other]]),0)</f>
        <v>47158</v>
      </c>
      <c r="H11" s="84">
        <f>IFERROR((Table1[[#This Row],[Earned Income - Advertising]]+Table1[[#This Row],[Earned Income - Sponsorships/Underwriting]]+Table1[[#This Row],[Earned Income - Events]]+Table1[[#This Row],[Earned Income - Subscriptions]]+Table1[[#This Row],[Earned Income - Syndication]]+Table1[[#This Row],[Earned Income - Other TOTAL]]),0)</f>
        <v>0</v>
      </c>
      <c r="I11" s="71">
        <v>11800</v>
      </c>
      <c r="J11" s="71">
        <v>0</v>
      </c>
      <c r="K11" s="71">
        <v>9342</v>
      </c>
      <c r="L11" s="71">
        <v>7000</v>
      </c>
      <c r="M11" s="71">
        <v>0</v>
      </c>
      <c r="N11" s="71">
        <v>19016</v>
      </c>
      <c r="O11" s="76" t="s">
        <v>345</v>
      </c>
      <c r="P11" s="71">
        <v>0</v>
      </c>
      <c r="Q11" s="71">
        <v>0</v>
      </c>
      <c r="R11" s="71">
        <v>0</v>
      </c>
      <c r="S11" s="71">
        <v>0</v>
      </c>
      <c r="T11" s="71">
        <v>0</v>
      </c>
      <c r="U11" s="85">
        <f>IFERROR(Table1[[#This Row],[Earned Income - Training Fees]]+Table1[[#This Row],[Earned Income - Fees]]+Table1[[#This Row],[Earned Income - Investments]]+Table1[[#This Row],[Earned Income - Other]],0)</f>
        <v>0</v>
      </c>
      <c r="V11" s="71">
        <v>0</v>
      </c>
      <c r="W11" s="71">
        <v>0</v>
      </c>
      <c r="X11" s="83" t="s">
        <v>406</v>
      </c>
      <c r="Y11" s="71">
        <v>0</v>
      </c>
      <c r="Z11" s="71">
        <v>0</v>
      </c>
      <c r="AA11" s="83" t="s">
        <v>406</v>
      </c>
      <c r="AB11" s="85">
        <f t="shared" si="0"/>
        <v>125000</v>
      </c>
      <c r="AC11" s="71">
        <v>70000</v>
      </c>
      <c r="AD11" s="85">
        <f>SUM(Table1[[#This Row],[Expenses - Revenue Generation]:[Expenses - Admin]])</f>
        <v>55000</v>
      </c>
      <c r="AE11" s="71">
        <v>0</v>
      </c>
      <c r="AF11" s="71">
        <v>30000</v>
      </c>
      <c r="AG11" s="71">
        <v>25000</v>
      </c>
      <c r="AH11" s="72">
        <f>Table1[[#This Row],[Total FTE - Editorial]]+Table1[[#This Row],[Total FTE - Non-Editorial]]</f>
        <v>2</v>
      </c>
      <c r="AI11" s="72">
        <f>Table1[[#This Row],[FTE Salaried - Editorial]]+Table1[[#This Row],[FTE Contractors - Editorial]]</f>
        <v>2</v>
      </c>
      <c r="AJ11" s="56">
        <v>2</v>
      </c>
      <c r="AK11" s="56">
        <v>0</v>
      </c>
      <c r="AL11" s="57">
        <f>Table1[[#This Row],[FTE Salaried - Non-Editorial]]+Table1[[#This Row],[FTE Contractors - Non-Editorial]]</f>
        <v>0</v>
      </c>
      <c r="AM11" s="56">
        <v>0</v>
      </c>
      <c r="AN11" s="56">
        <v>0</v>
      </c>
      <c r="AO11" s="83" t="s">
        <v>342</v>
      </c>
      <c r="AP11" s="83" t="s">
        <v>406</v>
      </c>
      <c r="AQ11" s="73">
        <v>30000</v>
      </c>
      <c r="AR11" s="73">
        <v>900</v>
      </c>
      <c r="AS11" s="73">
        <v>0</v>
      </c>
      <c r="AT11" s="73">
        <v>0</v>
      </c>
      <c r="AU11" s="73">
        <v>0</v>
      </c>
      <c r="AV11" s="83" t="s">
        <v>406</v>
      </c>
      <c r="BC11" s="54"/>
      <c r="BD11" s="54"/>
      <c r="BE11" s="54"/>
      <c r="BF11" s="54"/>
      <c r="BG11" s="54"/>
      <c r="BI11" s="54"/>
      <c r="BK11" s="54"/>
      <c r="BL11" s="54"/>
      <c r="BM11" s="54"/>
      <c r="BN11" s="54"/>
      <c r="BO11" s="54"/>
      <c r="BP11" s="54"/>
      <c r="BS11" s="54"/>
      <c r="BT11" s="54"/>
      <c r="BU11" s="54"/>
      <c r="BV11" s="54"/>
      <c r="BW11" s="54"/>
    </row>
    <row r="12" spans="1:75" x14ac:dyDescent="0.25">
      <c r="A12" s="80" t="s">
        <v>423</v>
      </c>
      <c r="B12" s="80"/>
      <c r="C12" s="80" t="s">
        <v>83</v>
      </c>
      <c r="D12" s="80" t="s">
        <v>78</v>
      </c>
      <c r="E12" s="57" t="str">
        <f>_xlfn.CONCAT(Table1[[#This Row],[Geographic Scope]],": ",Table1[[#This Row],[Sub-Type/Focus]])</f>
        <v>State: Multiple Related Topics</v>
      </c>
      <c r="F12" s="68">
        <f>Table1[[#This Row],[Total Contributed Income]]+Table1[[#This Row],[Total Earned Income]]</f>
        <v>0</v>
      </c>
      <c r="G12" s="86">
        <f>IFERROR((Table1[[#This Row],[Cont. Income - Foundation]]+Table1[[#This Row],[Cont. Income - Membership]]+Table1[[#This Row],[Cont. Income - Small Donors]]+Table1[[#This Row],[Cont. Income - Med. Donors]]+Table1[[#This Row],[Cont. Income - Major Donors]]+Table1[[#This Row],[Cont. Income - Other]]),0)</f>
        <v>0</v>
      </c>
      <c r="H12" s="86">
        <f>IFERROR((Table1[[#This Row],[Earned Income - Advertising]]+Table1[[#This Row],[Earned Income - Sponsorships/Underwriting]]+Table1[[#This Row],[Earned Income - Events]]+Table1[[#This Row],[Earned Income - Subscriptions]]+Table1[[#This Row],[Earned Income - Syndication]]+Table1[[#This Row],[Earned Income - Other TOTAL]]),0)</f>
        <v>0</v>
      </c>
      <c r="I12" s="71" t="s">
        <v>406</v>
      </c>
      <c r="J12" s="71" t="s">
        <v>406</v>
      </c>
      <c r="K12" s="71" t="s">
        <v>406</v>
      </c>
      <c r="L12" s="71" t="s">
        <v>406</v>
      </c>
      <c r="M12" s="71" t="s">
        <v>406</v>
      </c>
      <c r="N12" s="71" t="s">
        <v>406</v>
      </c>
      <c r="O12" s="76" t="s">
        <v>406</v>
      </c>
      <c r="P12" s="71" t="s">
        <v>406</v>
      </c>
      <c r="Q12" s="71" t="s">
        <v>406</v>
      </c>
      <c r="R12" s="71" t="s">
        <v>406</v>
      </c>
      <c r="S12" s="71" t="s">
        <v>406</v>
      </c>
      <c r="T12" s="71" t="s">
        <v>406</v>
      </c>
      <c r="U12" s="82">
        <f>IFERROR(Table1[[#This Row],[Earned Income - Training Fees]]+Table1[[#This Row],[Earned Income - Fees]]+Table1[[#This Row],[Earned Income - Investments]]+Table1[[#This Row],[Earned Income - Other]],0)</f>
        <v>0</v>
      </c>
      <c r="V12" s="71" t="s">
        <v>406</v>
      </c>
      <c r="W12" s="71" t="s">
        <v>406</v>
      </c>
      <c r="X12" s="80" t="s">
        <v>406</v>
      </c>
      <c r="Y12" s="71" t="s">
        <v>406</v>
      </c>
      <c r="Z12" s="71" t="s">
        <v>406</v>
      </c>
      <c r="AA12" s="80" t="s">
        <v>406</v>
      </c>
      <c r="AB12" s="82">
        <f t="shared" si="0"/>
        <v>0</v>
      </c>
      <c r="AC12" s="71" t="s">
        <v>406</v>
      </c>
      <c r="AD12" s="82">
        <f>SUM(Table1[[#This Row],[Expenses - Revenue Generation]:[Expenses - Admin]])</f>
        <v>0</v>
      </c>
      <c r="AE12" s="71" t="s">
        <v>406</v>
      </c>
      <c r="AF12" s="71" t="s">
        <v>406</v>
      </c>
      <c r="AG12" s="71" t="s">
        <v>406</v>
      </c>
      <c r="AH12" s="72">
        <f>Table1[[#This Row],[Total FTE - Editorial]]+Table1[[#This Row],[Total FTE - Non-Editorial]]</f>
        <v>4</v>
      </c>
      <c r="AI12" s="72">
        <f>Table1[[#This Row],[FTE Salaried - Editorial]]+Table1[[#This Row],[FTE Contractors - Editorial]]</f>
        <v>2</v>
      </c>
      <c r="AJ12" s="56">
        <v>2</v>
      </c>
      <c r="AK12" s="56">
        <v>0</v>
      </c>
      <c r="AL12" s="57">
        <f>Table1[[#This Row],[FTE Salaried - Non-Editorial]]+Table1[[#This Row],[FTE Contractors - Non-Editorial]]</f>
        <v>2</v>
      </c>
      <c r="AM12" s="56">
        <v>2</v>
      </c>
      <c r="AN12" s="56">
        <v>0</v>
      </c>
      <c r="AO12" s="80"/>
      <c r="AP12" s="80" t="s">
        <v>406</v>
      </c>
      <c r="AQ12" s="73" t="s">
        <v>406</v>
      </c>
      <c r="AR12" s="73" t="s">
        <v>406</v>
      </c>
      <c r="AS12" s="73" t="s">
        <v>406</v>
      </c>
      <c r="AT12" s="73" t="s">
        <v>406</v>
      </c>
      <c r="AU12" s="73" t="s">
        <v>406</v>
      </c>
      <c r="AV12" s="80" t="s">
        <v>406</v>
      </c>
      <c r="BC12" s="54"/>
      <c r="BD12" s="54"/>
      <c r="BE12" s="54"/>
      <c r="BF12" s="54"/>
      <c r="BG12" s="54"/>
      <c r="BI12" s="54"/>
      <c r="BK12" s="54"/>
      <c r="BL12" s="54"/>
      <c r="BM12" s="54"/>
      <c r="BN12" s="54"/>
      <c r="BO12" s="54"/>
      <c r="BP12" s="54"/>
      <c r="BS12" s="54"/>
      <c r="BT12" s="54"/>
      <c r="BU12" s="54"/>
      <c r="BV12" s="54"/>
      <c r="BW12" s="54"/>
    </row>
    <row r="13" spans="1:75" x14ac:dyDescent="0.25">
      <c r="A13" s="80" t="s">
        <v>424</v>
      </c>
      <c r="B13" s="80"/>
      <c r="C13" s="80" t="s">
        <v>83</v>
      </c>
      <c r="D13" s="80" t="s">
        <v>78</v>
      </c>
      <c r="E13" s="54" t="str">
        <f>_xlfn.CONCAT(Table1[[#This Row],[Geographic Scope]],": ",Table1[[#This Row],[Sub-Type/Focus]])</f>
        <v>State: Multiple Related Topics</v>
      </c>
      <c r="F13" s="55">
        <f>Table1[[#This Row],[Total Contributed Income]]+Table1[[#This Row],[Total Earned Income]]</f>
        <v>1619653</v>
      </c>
      <c r="G13" s="81">
        <f>IFERROR((Table1[[#This Row],[Cont. Income - Foundation]]+Table1[[#This Row],[Cont. Income - Membership]]+Table1[[#This Row],[Cont. Income - Small Donors]]+Table1[[#This Row],[Cont. Income - Med. Donors]]+Table1[[#This Row],[Cont. Income - Major Donors]]+Table1[[#This Row],[Cont. Income - Other]]),0)</f>
        <v>1611429</v>
      </c>
      <c r="H13" s="81">
        <f>IFERROR((Table1[[#This Row],[Earned Income - Advertising]]+Table1[[#This Row],[Earned Income - Sponsorships/Underwriting]]+Table1[[#This Row],[Earned Income - Events]]+Table1[[#This Row],[Earned Income - Subscriptions]]+Table1[[#This Row],[Earned Income - Syndication]]+Table1[[#This Row],[Earned Income - Other TOTAL]]),0)</f>
        <v>8224</v>
      </c>
      <c r="I13" s="71">
        <v>1434300</v>
      </c>
      <c r="J13" s="71">
        <v>650</v>
      </c>
      <c r="K13" s="71">
        <v>125939</v>
      </c>
      <c r="L13" s="71">
        <v>24540</v>
      </c>
      <c r="M13" s="71">
        <v>26000</v>
      </c>
      <c r="N13" s="71">
        <v>0</v>
      </c>
      <c r="O13" s="76" t="s">
        <v>406</v>
      </c>
      <c r="P13" s="71">
        <v>0</v>
      </c>
      <c r="Q13" s="71">
        <v>0</v>
      </c>
      <c r="R13" s="71">
        <v>0</v>
      </c>
      <c r="S13" s="71">
        <v>0</v>
      </c>
      <c r="T13" s="71">
        <v>0</v>
      </c>
      <c r="U13" s="82">
        <f>IFERROR(Table1[[#This Row],[Earned Income - Training Fees]]+Table1[[#This Row],[Earned Income - Fees]]+Table1[[#This Row],[Earned Income - Investments]]+Table1[[#This Row],[Earned Income - Other]],0)</f>
        <v>8224</v>
      </c>
      <c r="V13" s="71">
        <v>0</v>
      </c>
      <c r="W13" s="71">
        <v>8224</v>
      </c>
      <c r="X13" s="80"/>
      <c r="Y13" s="71">
        <v>0</v>
      </c>
      <c r="Z13" s="71">
        <v>0</v>
      </c>
      <c r="AA13" s="80" t="s">
        <v>406</v>
      </c>
      <c r="AB13" s="82">
        <f t="shared" si="0"/>
        <v>881505</v>
      </c>
      <c r="AC13" s="71">
        <v>638016</v>
      </c>
      <c r="AD13" s="82">
        <f>SUM(Table1[[#This Row],[Expenses - Revenue Generation]:[Expenses - Admin]])</f>
        <v>243489</v>
      </c>
      <c r="AE13" s="71">
        <v>45718</v>
      </c>
      <c r="AF13" s="71">
        <v>8596</v>
      </c>
      <c r="AG13" s="71">
        <v>189175</v>
      </c>
      <c r="AH13" s="72">
        <f>Table1[[#This Row],[Total FTE - Editorial]]+Table1[[#This Row],[Total FTE - Non-Editorial]]</f>
        <v>13.25</v>
      </c>
      <c r="AI13" s="72">
        <f>Table1[[#This Row],[FTE Salaried - Editorial]]+Table1[[#This Row],[FTE Contractors - Editorial]]</f>
        <v>11.75</v>
      </c>
      <c r="AJ13" s="56">
        <v>7</v>
      </c>
      <c r="AK13" s="56">
        <v>4.75</v>
      </c>
      <c r="AL13" s="57">
        <f>Table1[[#This Row],[FTE Salaried - Non-Editorial]]+Table1[[#This Row],[FTE Contractors - Non-Editorial]]</f>
        <v>1.5</v>
      </c>
      <c r="AM13" s="56">
        <v>1</v>
      </c>
      <c r="AN13" s="56">
        <v>0.5</v>
      </c>
      <c r="AO13" s="80" t="s">
        <v>342</v>
      </c>
      <c r="AP13" s="80" t="s">
        <v>406</v>
      </c>
      <c r="AQ13" s="73">
        <v>0</v>
      </c>
      <c r="AR13" s="73">
        <v>0</v>
      </c>
      <c r="AS13" s="73">
        <v>0</v>
      </c>
      <c r="AT13" s="73">
        <v>0</v>
      </c>
      <c r="AU13" s="73">
        <v>0</v>
      </c>
      <c r="AV13" s="80" t="s">
        <v>406</v>
      </c>
      <c r="BC13" s="54"/>
      <c r="BD13" s="54"/>
      <c r="BE13" s="54"/>
      <c r="BF13" s="54"/>
      <c r="BG13" s="54"/>
      <c r="BI13" s="54"/>
      <c r="BK13" s="54"/>
      <c r="BL13" s="54"/>
      <c r="BM13" s="54"/>
      <c r="BN13" s="54"/>
      <c r="BO13" s="54"/>
      <c r="BP13" s="54"/>
      <c r="BS13" s="54"/>
      <c r="BT13" s="54"/>
      <c r="BU13" s="54"/>
      <c r="BV13" s="54"/>
      <c r="BW13" s="54"/>
    </row>
    <row r="14" spans="1:75" x14ac:dyDescent="0.25">
      <c r="A14" s="83" t="s">
        <v>425</v>
      </c>
      <c r="B14" s="83"/>
      <c r="C14" s="83" t="s">
        <v>6</v>
      </c>
      <c r="D14" s="83" t="s">
        <v>79</v>
      </c>
      <c r="E14" s="54" t="str">
        <f>_xlfn.CONCAT(Table1[[#This Row],[Geographic Scope]],": ",Table1[[#This Row],[Sub-Type/Focus]])</f>
        <v>National: Single-Topic</v>
      </c>
      <c r="F14" s="55">
        <f>Table1[[#This Row],[Total Contributed Income]]+Table1[[#This Row],[Total Earned Income]]</f>
        <v>6100053.7999999998</v>
      </c>
      <c r="G14" s="84">
        <f>IFERROR((Table1[[#This Row],[Cont. Income - Foundation]]+Table1[[#This Row],[Cont. Income - Membership]]+Table1[[#This Row],[Cont. Income - Small Donors]]+Table1[[#This Row],[Cont. Income - Med. Donors]]+Table1[[#This Row],[Cont. Income - Major Donors]]+Table1[[#This Row],[Cont. Income - Other]]),0)</f>
        <v>5754792.7999999998</v>
      </c>
      <c r="H14" s="84">
        <f>IFERROR((Table1[[#This Row],[Earned Income - Advertising]]+Table1[[#This Row],[Earned Income - Sponsorships/Underwriting]]+Table1[[#This Row],[Earned Income - Events]]+Table1[[#This Row],[Earned Income - Subscriptions]]+Table1[[#This Row],[Earned Income - Syndication]]+Table1[[#This Row],[Earned Income - Other TOTAL]]),0)</f>
        <v>345261</v>
      </c>
      <c r="I14" s="71">
        <v>5340930</v>
      </c>
      <c r="J14" s="71">
        <v>0</v>
      </c>
      <c r="K14" s="71">
        <v>55626.8</v>
      </c>
      <c r="L14" s="71">
        <v>28759</v>
      </c>
      <c r="M14" s="71">
        <v>329477</v>
      </c>
      <c r="N14" s="71">
        <v>0</v>
      </c>
      <c r="O14" s="76" t="s">
        <v>406</v>
      </c>
      <c r="P14" s="71">
        <v>34403</v>
      </c>
      <c r="Q14" s="71">
        <v>239774</v>
      </c>
      <c r="R14" s="71">
        <v>4283</v>
      </c>
      <c r="S14" s="71">
        <v>0</v>
      </c>
      <c r="T14" s="71">
        <v>0</v>
      </c>
      <c r="U14" s="85">
        <f>IFERROR(Table1[[#This Row],[Earned Income - Training Fees]]+Table1[[#This Row],[Earned Income - Fees]]+Table1[[#This Row],[Earned Income - Investments]]+Table1[[#This Row],[Earned Income - Other]],0)</f>
        <v>66801</v>
      </c>
      <c r="V14" s="71">
        <v>0</v>
      </c>
      <c r="W14" s="71">
        <v>64601</v>
      </c>
      <c r="X14" s="83" t="s">
        <v>426</v>
      </c>
      <c r="Y14" s="71">
        <v>0</v>
      </c>
      <c r="Z14" s="71">
        <v>2200</v>
      </c>
      <c r="AA14" s="83" t="s">
        <v>427</v>
      </c>
      <c r="AB14" s="85">
        <f t="shared" si="0"/>
        <v>6354883</v>
      </c>
      <c r="AC14" s="71">
        <v>3322499</v>
      </c>
      <c r="AD14" s="85">
        <f>SUM(Table1[[#This Row],[Expenses - Revenue Generation]:[Expenses - Admin]])</f>
        <v>3032384</v>
      </c>
      <c r="AE14" s="71">
        <v>855685</v>
      </c>
      <c r="AF14" s="71">
        <v>451808</v>
      </c>
      <c r="AG14" s="71">
        <v>1724891</v>
      </c>
      <c r="AH14" s="72">
        <f>Table1[[#This Row],[Total FTE - Editorial]]+Table1[[#This Row],[Total FTE - Non-Editorial]]</f>
        <v>59.325000000000003</v>
      </c>
      <c r="AI14" s="72">
        <f>Table1[[#This Row],[FTE Salaried - Editorial]]+Table1[[#This Row],[FTE Contractors - Editorial]]</f>
        <v>35.6</v>
      </c>
      <c r="AJ14" s="56">
        <v>35</v>
      </c>
      <c r="AK14" s="56">
        <v>0.6</v>
      </c>
      <c r="AL14" s="57">
        <f>Table1[[#This Row],[FTE Salaried - Non-Editorial]]+Table1[[#This Row],[FTE Contractors - Non-Editorial]]</f>
        <v>23.725000000000001</v>
      </c>
      <c r="AM14" s="56">
        <v>23.625</v>
      </c>
      <c r="AN14" s="56">
        <v>0.1</v>
      </c>
      <c r="AO14" s="83" t="s">
        <v>342</v>
      </c>
      <c r="AP14" s="83" t="s">
        <v>406</v>
      </c>
      <c r="AQ14" s="73">
        <v>446000</v>
      </c>
      <c r="AR14" s="73">
        <v>41000</v>
      </c>
      <c r="AS14" s="73">
        <v>0</v>
      </c>
      <c r="AT14" s="73">
        <v>0</v>
      </c>
      <c r="AU14" s="73">
        <v>0</v>
      </c>
      <c r="AV14" s="83" t="s">
        <v>406</v>
      </c>
      <c r="BC14" s="54"/>
      <c r="BD14" s="54"/>
      <c r="BE14" s="54"/>
      <c r="BF14" s="54"/>
      <c r="BG14" s="54"/>
      <c r="BI14" s="54"/>
      <c r="BK14" s="54"/>
      <c r="BL14" s="54"/>
      <c r="BM14" s="54"/>
      <c r="BN14" s="54"/>
      <c r="BO14" s="54"/>
      <c r="BP14" s="54"/>
      <c r="BS14" s="54"/>
      <c r="BT14" s="54"/>
      <c r="BU14" s="54"/>
      <c r="BV14" s="54"/>
      <c r="BW14" s="54"/>
    </row>
    <row r="15" spans="1:75" x14ac:dyDescent="0.25">
      <c r="A15" s="83" t="s">
        <v>428</v>
      </c>
      <c r="B15" s="83"/>
      <c r="C15" s="83" t="s">
        <v>7</v>
      </c>
      <c r="D15" s="83" t="s">
        <v>77</v>
      </c>
      <c r="E15" s="54" t="str">
        <f>_xlfn.CONCAT(Table1[[#This Row],[Geographic Scope]],": ",Table1[[#This Row],[Sub-Type/Focus]])</f>
        <v>Local: General</v>
      </c>
      <c r="F15" s="55">
        <f>Table1[[#This Row],[Total Contributed Income]]+Table1[[#This Row],[Total Earned Income]]</f>
        <v>460000</v>
      </c>
      <c r="G15" s="84">
        <f>IFERROR((Table1[[#This Row],[Cont. Income - Foundation]]+Table1[[#This Row],[Cont. Income - Membership]]+Table1[[#This Row],[Cont. Income - Small Donors]]+Table1[[#This Row],[Cont. Income - Med. Donors]]+Table1[[#This Row],[Cont. Income - Major Donors]]+Table1[[#This Row],[Cont. Income - Other]]),0)</f>
        <v>445000</v>
      </c>
      <c r="H15" s="84">
        <f>IFERROR((Table1[[#This Row],[Earned Income - Advertising]]+Table1[[#This Row],[Earned Income - Sponsorships/Underwriting]]+Table1[[#This Row],[Earned Income - Events]]+Table1[[#This Row],[Earned Income - Subscriptions]]+Table1[[#This Row],[Earned Income - Syndication]]+Table1[[#This Row],[Earned Income - Other TOTAL]]),0)</f>
        <v>15000</v>
      </c>
      <c r="I15" s="71">
        <v>184000</v>
      </c>
      <c r="J15" s="71">
        <v>0</v>
      </c>
      <c r="K15" s="71">
        <v>51000</v>
      </c>
      <c r="L15" s="71">
        <v>70000</v>
      </c>
      <c r="M15" s="71">
        <v>140000</v>
      </c>
      <c r="N15" s="71">
        <v>0</v>
      </c>
      <c r="O15" s="76" t="s">
        <v>406</v>
      </c>
      <c r="P15" s="71">
        <v>0</v>
      </c>
      <c r="Q15" s="71">
        <v>13000</v>
      </c>
      <c r="R15" s="71">
        <v>2000</v>
      </c>
      <c r="S15" s="71">
        <v>0</v>
      </c>
      <c r="T15" s="71">
        <v>0</v>
      </c>
      <c r="U15" s="85">
        <f>IFERROR(Table1[[#This Row],[Earned Income - Training Fees]]+Table1[[#This Row],[Earned Income - Fees]]+Table1[[#This Row],[Earned Income - Investments]]+Table1[[#This Row],[Earned Income - Other]],0)</f>
        <v>0</v>
      </c>
      <c r="V15" s="71">
        <v>0</v>
      </c>
      <c r="W15" s="71">
        <v>0</v>
      </c>
      <c r="X15" s="83" t="s">
        <v>406</v>
      </c>
      <c r="Y15" s="71">
        <v>0</v>
      </c>
      <c r="Z15" s="71">
        <v>0</v>
      </c>
      <c r="AA15" s="83" t="s">
        <v>406</v>
      </c>
      <c r="AB15" s="85">
        <f t="shared" si="0"/>
        <v>584000</v>
      </c>
      <c r="AC15" s="71">
        <v>275000</v>
      </c>
      <c r="AD15" s="85">
        <f>SUM(Table1[[#This Row],[Expenses - Revenue Generation]:[Expenses - Admin]])</f>
        <v>309000</v>
      </c>
      <c r="AE15" s="71">
        <v>70000</v>
      </c>
      <c r="AF15" s="71">
        <v>30000</v>
      </c>
      <c r="AG15" s="71">
        <v>209000</v>
      </c>
      <c r="AH15" s="72">
        <f>Table1[[#This Row],[Total FTE - Editorial]]+Table1[[#This Row],[Total FTE - Non-Editorial]]</f>
        <v>7</v>
      </c>
      <c r="AI15" s="72">
        <f>Table1[[#This Row],[FTE Salaried - Editorial]]+Table1[[#This Row],[FTE Contractors - Editorial]]</f>
        <v>4</v>
      </c>
      <c r="AJ15" s="56">
        <v>4</v>
      </c>
      <c r="AK15" s="56">
        <v>0</v>
      </c>
      <c r="AL15" s="57">
        <f>Table1[[#This Row],[FTE Salaried - Non-Editorial]]+Table1[[#This Row],[FTE Contractors - Non-Editorial]]</f>
        <v>3</v>
      </c>
      <c r="AM15" s="56">
        <v>3</v>
      </c>
      <c r="AN15" s="56">
        <v>0</v>
      </c>
      <c r="AO15" s="83" t="s">
        <v>342</v>
      </c>
      <c r="AP15" s="83" t="s">
        <v>406</v>
      </c>
      <c r="AQ15" s="73">
        <v>19000</v>
      </c>
      <c r="AR15" s="73">
        <v>8300</v>
      </c>
      <c r="AS15" s="73">
        <v>0</v>
      </c>
      <c r="AT15" s="73">
        <v>0</v>
      </c>
      <c r="AU15" s="73">
        <v>0</v>
      </c>
      <c r="AV15" s="83" t="s">
        <v>406</v>
      </c>
      <c r="BC15" s="54"/>
      <c r="BD15" s="54"/>
      <c r="BE15" s="54"/>
      <c r="BF15" s="54"/>
      <c r="BG15" s="54"/>
      <c r="BI15" s="54"/>
      <c r="BK15" s="54"/>
      <c r="BL15" s="54"/>
      <c r="BM15" s="54"/>
      <c r="BN15" s="54"/>
      <c r="BO15" s="54"/>
      <c r="BP15" s="54"/>
      <c r="BS15" s="54"/>
      <c r="BT15" s="54"/>
      <c r="BU15" s="54"/>
      <c r="BV15" s="54"/>
      <c r="BW15" s="54"/>
    </row>
    <row r="16" spans="1:75" x14ac:dyDescent="0.25">
      <c r="A16" s="83" t="s">
        <v>429</v>
      </c>
      <c r="B16" s="83"/>
      <c r="C16" s="83" t="s">
        <v>378</v>
      </c>
      <c r="D16" s="83" t="s">
        <v>79</v>
      </c>
      <c r="E16" s="54" t="str">
        <f>_xlfn.CONCAT(Table1[[#This Row],[Geographic Scope]],": ",Table1[[#This Row],[Sub-Type/Focus]])</f>
        <v>Regional: Single-Topic</v>
      </c>
      <c r="F16" s="55">
        <f>Table1[[#This Row],[Total Contributed Income]]+Table1[[#This Row],[Total Earned Income]]</f>
        <v>1017956</v>
      </c>
      <c r="G16" s="84">
        <f>IFERROR((Table1[[#This Row],[Cont. Income - Foundation]]+Table1[[#This Row],[Cont. Income - Membership]]+Table1[[#This Row],[Cont. Income - Small Donors]]+Table1[[#This Row],[Cont. Income - Med. Donors]]+Table1[[#This Row],[Cont. Income - Major Donors]]+Table1[[#This Row],[Cont. Income - Other]]),0)</f>
        <v>986256</v>
      </c>
      <c r="H16" s="84">
        <f>IFERROR((Table1[[#This Row],[Earned Income - Advertising]]+Table1[[#This Row],[Earned Income - Sponsorships/Underwriting]]+Table1[[#This Row],[Earned Income - Events]]+Table1[[#This Row],[Earned Income - Subscriptions]]+Table1[[#This Row],[Earned Income - Syndication]]+Table1[[#This Row],[Earned Income - Other TOTAL]]),0)</f>
        <v>31700</v>
      </c>
      <c r="I16" s="71">
        <v>600611</v>
      </c>
      <c r="J16" s="71">
        <v>0</v>
      </c>
      <c r="K16" s="71">
        <v>9500</v>
      </c>
      <c r="L16" s="71">
        <v>201145</v>
      </c>
      <c r="M16" s="71">
        <v>175000</v>
      </c>
      <c r="N16" s="71">
        <v>0</v>
      </c>
      <c r="O16" s="76" t="s">
        <v>406</v>
      </c>
      <c r="P16" s="71">
        <v>31700</v>
      </c>
      <c r="Q16" s="71">
        <v>0</v>
      </c>
      <c r="R16" s="71">
        <v>0</v>
      </c>
      <c r="S16" s="71">
        <v>0</v>
      </c>
      <c r="T16" s="71">
        <v>0</v>
      </c>
      <c r="U16" s="85">
        <f>IFERROR(Table1[[#This Row],[Earned Income - Training Fees]]+Table1[[#This Row],[Earned Income - Fees]]+Table1[[#This Row],[Earned Income - Investments]]+Table1[[#This Row],[Earned Income - Other]],0)</f>
        <v>0</v>
      </c>
      <c r="V16" s="71">
        <v>0</v>
      </c>
      <c r="W16" s="71">
        <v>0</v>
      </c>
      <c r="X16" s="83" t="s">
        <v>406</v>
      </c>
      <c r="Y16" s="71">
        <v>0</v>
      </c>
      <c r="Z16" s="71">
        <v>0</v>
      </c>
      <c r="AA16" s="83" t="s">
        <v>406</v>
      </c>
      <c r="AB16" s="85">
        <f t="shared" si="0"/>
        <v>1032138</v>
      </c>
      <c r="AC16" s="71">
        <v>816997</v>
      </c>
      <c r="AD16" s="85">
        <f>SUM(Table1[[#This Row],[Expenses - Revenue Generation]:[Expenses - Admin]])</f>
        <v>215141</v>
      </c>
      <c r="AE16" s="71">
        <v>110734</v>
      </c>
      <c r="AF16" s="71">
        <v>0</v>
      </c>
      <c r="AG16" s="71">
        <v>104407</v>
      </c>
      <c r="AH16" s="72">
        <f>Table1[[#This Row],[Total FTE - Editorial]]+Table1[[#This Row],[Total FTE - Non-Editorial]]</f>
        <v>7</v>
      </c>
      <c r="AI16" s="72">
        <f>Table1[[#This Row],[FTE Salaried - Editorial]]+Table1[[#This Row],[FTE Contractors - Editorial]]</f>
        <v>6</v>
      </c>
      <c r="AJ16" s="56">
        <v>6</v>
      </c>
      <c r="AK16" s="56">
        <v>0</v>
      </c>
      <c r="AL16" s="57">
        <f>Table1[[#This Row],[FTE Salaried - Non-Editorial]]+Table1[[#This Row],[FTE Contractors - Non-Editorial]]</f>
        <v>1</v>
      </c>
      <c r="AM16" s="56">
        <v>1</v>
      </c>
      <c r="AN16" s="56">
        <v>0</v>
      </c>
      <c r="AO16" s="83" t="s">
        <v>394</v>
      </c>
      <c r="AP16" s="83" t="s">
        <v>406</v>
      </c>
      <c r="AQ16" s="73">
        <v>33000</v>
      </c>
      <c r="AR16" s="73">
        <v>4900</v>
      </c>
      <c r="AS16" s="73">
        <v>35000</v>
      </c>
      <c r="AT16" s="73">
        <v>10</v>
      </c>
      <c r="AU16" s="73">
        <v>0</v>
      </c>
      <c r="AV16" s="83" t="s">
        <v>406</v>
      </c>
      <c r="BC16" s="54"/>
      <c r="BD16" s="54"/>
      <c r="BE16" s="54"/>
      <c r="BF16" s="54"/>
      <c r="BG16" s="54"/>
      <c r="BI16" s="54"/>
      <c r="BK16" s="54"/>
      <c r="BL16" s="54"/>
      <c r="BM16" s="54"/>
      <c r="BN16" s="54"/>
      <c r="BO16" s="54"/>
      <c r="BP16" s="54"/>
      <c r="BS16" s="54"/>
      <c r="BT16" s="54"/>
      <c r="BU16" s="54"/>
      <c r="BV16" s="54"/>
      <c r="BW16" s="54"/>
    </row>
    <row r="17" spans="1:75" x14ac:dyDescent="0.25">
      <c r="A17" s="83" t="s">
        <v>430</v>
      </c>
      <c r="B17" s="83"/>
      <c r="C17" s="80" t="s">
        <v>7</v>
      </c>
      <c r="D17" s="83" t="s">
        <v>78</v>
      </c>
      <c r="E17" s="54" t="str">
        <f>_xlfn.CONCAT(Table1[[#This Row],[Geographic Scope]],": ",Table1[[#This Row],[Sub-Type/Focus]])</f>
        <v>Local: Multiple Related Topics</v>
      </c>
      <c r="F17" s="55">
        <f>Table1[[#This Row],[Total Contributed Income]]+Table1[[#This Row],[Total Earned Income]]</f>
        <v>584512</v>
      </c>
      <c r="G17" s="84">
        <f>IFERROR((Table1[[#This Row],[Cont. Income - Foundation]]+Table1[[#This Row],[Cont. Income - Membership]]+Table1[[#This Row],[Cont. Income - Small Donors]]+Table1[[#This Row],[Cont. Income - Med. Donors]]+Table1[[#This Row],[Cont. Income - Major Donors]]+Table1[[#This Row],[Cont. Income - Other]]),0)</f>
        <v>513399</v>
      </c>
      <c r="H17" s="84">
        <f>IFERROR((Table1[[#This Row],[Earned Income - Advertising]]+Table1[[#This Row],[Earned Income - Sponsorships/Underwriting]]+Table1[[#This Row],[Earned Income - Events]]+Table1[[#This Row],[Earned Income - Subscriptions]]+Table1[[#This Row],[Earned Income - Syndication]]+Table1[[#This Row],[Earned Income - Other TOTAL]]),0)</f>
        <v>71113</v>
      </c>
      <c r="I17" s="71">
        <v>496222</v>
      </c>
      <c r="J17" s="71">
        <v>0</v>
      </c>
      <c r="K17" s="71">
        <v>4192</v>
      </c>
      <c r="L17" s="71">
        <v>4500</v>
      </c>
      <c r="M17" s="71">
        <v>0</v>
      </c>
      <c r="N17" s="71">
        <v>8485</v>
      </c>
      <c r="O17" s="76" t="s">
        <v>431</v>
      </c>
      <c r="P17" s="71">
        <v>0</v>
      </c>
      <c r="Q17" s="71">
        <v>0</v>
      </c>
      <c r="R17" s="71">
        <v>0</v>
      </c>
      <c r="S17" s="71">
        <v>565</v>
      </c>
      <c r="T17" s="71">
        <v>0</v>
      </c>
      <c r="U17" s="85">
        <f>IFERROR(Table1[[#This Row],[Earned Income - Training Fees]]+Table1[[#This Row],[Earned Income - Fees]]+Table1[[#This Row],[Earned Income - Investments]]+Table1[[#This Row],[Earned Income - Other]],0)</f>
        <v>70548</v>
      </c>
      <c r="V17" s="71">
        <v>0</v>
      </c>
      <c r="W17" s="71">
        <v>1120</v>
      </c>
      <c r="X17" s="83" t="s">
        <v>432</v>
      </c>
      <c r="Y17" s="71">
        <v>69428</v>
      </c>
      <c r="Z17" s="71">
        <v>0</v>
      </c>
      <c r="AA17" s="83" t="s">
        <v>406</v>
      </c>
      <c r="AB17" s="85">
        <f t="shared" si="0"/>
        <v>594512</v>
      </c>
      <c r="AC17" s="71">
        <v>478537</v>
      </c>
      <c r="AD17" s="85">
        <f>SUM(Table1[[#This Row],[Expenses - Revenue Generation]:[Expenses - Admin]])</f>
        <v>115975</v>
      </c>
      <c r="AE17" s="71">
        <v>35000</v>
      </c>
      <c r="AF17" s="71">
        <v>10038</v>
      </c>
      <c r="AG17" s="71">
        <v>70937</v>
      </c>
      <c r="AH17" s="72">
        <f>Table1[[#This Row],[Total FTE - Editorial]]+Table1[[#This Row],[Total FTE - Non-Editorial]]</f>
        <v>4</v>
      </c>
      <c r="AI17" s="72">
        <f>Table1[[#This Row],[FTE Salaried - Editorial]]+Table1[[#This Row],[FTE Contractors - Editorial]]</f>
        <v>4</v>
      </c>
      <c r="AJ17" s="56">
        <v>4</v>
      </c>
      <c r="AK17" s="56">
        <v>0</v>
      </c>
      <c r="AL17" s="57">
        <f>Table1[[#This Row],[FTE Salaried - Non-Editorial]]+Table1[[#This Row],[FTE Contractors - Non-Editorial]]</f>
        <v>0</v>
      </c>
      <c r="AM17" s="56">
        <v>0</v>
      </c>
      <c r="AN17" s="56">
        <v>0</v>
      </c>
      <c r="AO17" s="83" t="s">
        <v>342</v>
      </c>
      <c r="AP17" s="83" t="s">
        <v>406</v>
      </c>
      <c r="AQ17" s="73">
        <v>51000</v>
      </c>
      <c r="AR17" s="73">
        <v>8340</v>
      </c>
      <c r="AS17" s="73">
        <v>0</v>
      </c>
      <c r="AT17" s="73">
        <v>0</v>
      </c>
      <c r="AU17" s="73">
        <v>0</v>
      </c>
      <c r="AV17" s="83" t="s">
        <v>406</v>
      </c>
      <c r="BC17" s="54"/>
      <c r="BD17" s="54"/>
      <c r="BE17" s="54"/>
      <c r="BF17" s="54"/>
      <c r="BG17" s="54"/>
      <c r="BI17" s="54"/>
      <c r="BK17" s="54"/>
      <c r="BL17" s="54"/>
      <c r="BM17" s="54"/>
      <c r="BN17" s="54"/>
      <c r="BO17" s="54"/>
      <c r="BP17" s="54"/>
      <c r="BS17" s="54"/>
      <c r="BT17" s="54"/>
      <c r="BU17" s="54"/>
      <c r="BV17" s="54"/>
      <c r="BW17" s="54"/>
    </row>
    <row r="18" spans="1:75" x14ac:dyDescent="0.25">
      <c r="A18" s="83" t="s">
        <v>433</v>
      </c>
      <c r="B18" s="83"/>
      <c r="C18" s="83" t="s">
        <v>7</v>
      </c>
      <c r="D18" s="83" t="s">
        <v>78</v>
      </c>
      <c r="E18" s="54" t="str">
        <f>_xlfn.CONCAT(Table1[[#This Row],[Geographic Scope]],": ",Table1[[#This Row],[Sub-Type/Focus]])</f>
        <v>Local: Multiple Related Topics</v>
      </c>
      <c r="F18" s="55">
        <f>Table1[[#This Row],[Total Contributed Income]]+Table1[[#This Row],[Total Earned Income]]</f>
        <v>1077574</v>
      </c>
      <c r="G18" s="84">
        <f>IFERROR((Table1[[#This Row],[Cont. Income - Foundation]]+Table1[[#This Row],[Cont. Income - Membership]]+Table1[[#This Row],[Cont. Income - Small Donors]]+Table1[[#This Row],[Cont. Income - Med. Donors]]+Table1[[#This Row],[Cont. Income - Major Donors]]+Table1[[#This Row],[Cont. Income - Other]]),0)</f>
        <v>960726</v>
      </c>
      <c r="H18" s="84">
        <f>IFERROR((Table1[[#This Row],[Earned Income - Advertising]]+Table1[[#This Row],[Earned Income - Sponsorships/Underwriting]]+Table1[[#This Row],[Earned Income - Events]]+Table1[[#This Row],[Earned Income - Subscriptions]]+Table1[[#This Row],[Earned Income - Syndication]]+Table1[[#This Row],[Earned Income - Other TOTAL]]),0)</f>
        <v>116848</v>
      </c>
      <c r="I18" s="71">
        <v>913564</v>
      </c>
      <c r="J18" s="71">
        <v>24507</v>
      </c>
      <c r="K18" s="71">
        <v>12655</v>
      </c>
      <c r="L18" s="71">
        <v>0</v>
      </c>
      <c r="M18" s="71">
        <v>0</v>
      </c>
      <c r="N18" s="71">
        <v>10000</v>
      </c>
      <c r="O18" s="76" t="s">
        <v>434</v>
      </c>
      <c r="P18" s="71">
        <v>0</v>
      </c>
      <c r="Q18" s="71">
        <v>0</v>
      </c>
      <c r="R18" s="71">
        <v>24025</v>
      </c>
      <c r="S18" s="71">
        <v>0</v>
      </c>
      <c r="T18" s="71">
        <v>3000</v>
      </c>
      <c r="U18" s="85">
        <f>IFERROR(Table1[[#This Row],[Earned Income - Training Fees]]+Table1[[#This Row],[Earned Income - Fees]]+Table1[[#This Row],[Earned Income - Investments]]+Table1[[#This Row],[Earned Income - Other]],0)</f>
        <v>89823</v>
      </c>
      <c r="V18" s="71">
        <v>0</v>
      </c>
      <c r="W18" s="71">
        <v>833</v>
      </c>
      <c r="X18" s="83" t="s">
        <v>341</v>
      </c>
      <c r="Y18" s="71">
        <v>0</v>
      </c>
      <c r="Z18" s="71">
        <v>88990</v>
      </c>
      <c r="AA18" s="83" t="s">
        <v>435</v>
      </c>
      <c r="AB18" s="85">
        <f t="shared" si="0"/>
        <v>942218</v>
      </c>
      <c r="AC18" s="71">
        <v>706693</v>
      </c>
      <c r="AD18" s="85">
        <f>SUM(Table1[[#This Row],[Expenses - Revenue Generation]:[Expenses - Admin]])</f>
        <v>235525</v>
      </c>
      <c r="AE18" s="71">
        <v>141300</v>
      </c>
      <c r="AF18" s="71">
        <v>0</v>
      </c>
      <c r="AG18" s="71">
        <v>94225</v>
      </c>
      <c r="AH18" s="72">
        <f>Table1[[#This Row],[Total FTE - Editorial]]+Table1[[#This Row],[Total FTE - Non-Editorial]]</f>
        <v>9</v>
      </c>
      <c r="AI18" s="72">
        <f>Table1[[#This Row],[FTE Salaried - Editorial]]+Table1[[#This Row],[FTE Contractors - Editorial]]</f>
        <v>7</v>
      </c>
      <c r="AJ18" s="56">
        <v>7</v>
      </c>
      <c r="AK18" s="56">
        <v>0</v>
      </c>
      <c r="AL18" s="57">
        <f>Table1[[#This Row],[FTE Salaried - Non-Editorial]]+Table1[[#This Row],[FTE Contractors - Non-Editorial]]</f>
        <v>2</v>
      </c>
      <c r="AM18" s="56">
        <v>2</v>
      </c>
      <c r="AN18" s="56">
        <v>0</v>
      </c>
      <c r="AO18" s="83" t="s">
        <v>436</v>
      </c>
      <c r="AP18" s="83" t="s">
        <v>437</v>
      </c>
      <c r="AQ18" s="73">
        <v>5990</v>
      </c>
      <c r="AR18" s="73">
        <v>6221</v>
      </c>
      <c r="AS18" s="73">
        <v>0</v>
      </c>
      <c r="AT18" s="73">
        <v>0</v>
      </c>
      <c r="AU18" s="73">
        <v>0</v>
      </c>
      <c r="AV18" s="83" t="s">
        <v>406</v>
      </c>
      <c r="BC18" s="54"/>
      <c r="BD18" s="54"/>
      <c r="BE18" s="54"/>
      <c r="BF18" s="54"/>
      <c r="BG18" s="54"/>
      <c r="BI18" s="54"/>
      <c r="BK18" s="54"/>
      <c r="BL18" s="54"/>
      <c r="BM18" s="54"/>
      <c r="BN18" s="54"/>
      <c r="BO18" s="54"/>
      <c r="BP18" s="54"/>
      <c r="BS18" s="54"/>
      <c r="BT18" s="54"/>
      <c r="BU18" s="54"/>
      <c r="BV18" s="54"/>
      <c r="BW18" s="54"/>
    </row>
    <row r="19" spans="1:75" x14ac:dyDescent="0.25">
      <c r="A19" s="83" t="s">
        <v>438</v>
      </c>
      <c r="B19" s="83"/>
      <c r="C19" s="83" t="s">
        <v>7</v>
      </c>
      <c r="D19" s="83" t="s">
        <v>78</v>
      </c>
      <c r="E19" s="54" t="str">
        <f>_xlfn.CONCAT(Table1[[#This Row],[Geographic Scope]],": ",Table1[[#This Row],[Sub-Type/Focus]])</f>
        <v>Local: Multiple Related Topics</v>
      </c>
      <c r="F19" s="55">
        <f>Table1[[#This Row],[Total Contributed Income]]+Table1[[#This Row],[Total Earned Income]]</f>
        <v>913648.25</v>
      </c>
      <c r="G19" s="84">
        <f>IFERROR((Table1[[#This Row],[Cont. Income - Foundation]]+Table1[[#This Row],[Cont. Income - Membership]]+Table1[[#This Row],[Cont. Income - Small Donors]]+Table1[[#This Row],[Cont. Income - Med. Donors]]+Table1[[#This Row],[Cont. Income - Major Donors]]+Table1[[#This Row],[Cont. Income - Other]]),0)</f>
        <v>833368.22</v>
      </c>
      <c r="H19" s="84">
        <f>IFERROR((Table1[[#This Row],[Earned Income - Advertising]]+Table1[[#This Row],[Earned Income - Sponsorships/Underwriting]]+Table1[[#This Row],[Earned Income - Events]]+Table1[[#This Row],[Earned Income - Subscriptions]]+Table1[[#This Row],[Earned Income - Syndication]]+Table1[[#This Row],[Earned Income - Other TOTAL]]),0)</f>
        <v>80280.03</v>
      </c>
      <c r="I19" s="71">
        <v>599224</v>
      </c>
      <c r="J19" s="71">
        <v>22192.74</v>
      </c>
      <c r="K19" s="71">
        <v>31817.48</v>
      </c>
      <c r="L19" s="71">
        <v>110610</v>
      </c>
      <c r="M19" s="71">
        <v>38024</v>
      </c>
      <c r="N19" s="71">
        <v>31500</v>
      </c>
      <c r="O19" s="76" t="s">
        <v>439</v>
      </c>
      <c r="P19" s="71">
        <v>31161.73</v>
      </c>
      <c r="Q19" s="71">
        <v>0</v>
      </c>
      <c r="R19" s="71">
        <v>590</v>
      </c>
      <c r="S19" s="71">
        <v>0</v>
      </c>
      <c r="T19" s="71">
        <v>11700</v>
      </c>
      <c r="U19" s="85">
        <f>IFERROR(Table1[[#This Row],[Earned Income - Training Fees]]+Table1[[#This Row],[Earned Income - Fees]]+Table1[[#This Row],[Earned Income - Investments]]+Table1[[#This Row],[Earned Income - Other]],0)</f>
        <v>36828.300000000003</v>
      </c>
      <c r="V19" s="71">
        <v>0</v>
      </c>
      <c r="W19" s="71">
        <v>0</v>
      </c>
      <c r="X19" s="83" t="s">
        <v>406</v>
      </c>
      <c r="Y19" s="71">
        <v>0</v>
      </c>
      <c r="Z19" s="71">
        <v>36828.300000000003</v>
      </c>
      <c r="AA19" s="83" t="s">
        <v>440</v>
      </c>
      <c r="AB19" s="85">
        <f t="shared" si="0"/>
        <v>770137</v>
      </c>
      <c r="AC19" s="71">
        <v>477038</v>
      </c>
      <c r="AD19" s="85">
        <f>SUM(Table1[[#This Row],[Expenses - Revenue Generation]:[Expenses - Admin]])</f>
        <v>293099</v>
      </c>
      <c r="AE19" s="71">
        <v>144739</v>
      </c>
      <c r="AF19" s="71">
        <v>0</v>
      </c>
      <c r="AG19" s="71">
        <v>148360</v>
      </c>
      <c r="AH19" s="72">
        <f>Table1[[#This Row],[Total FTE - Editorial]]+Table1[[#This Row],[Total FTE - Non-Editorial]]</f>
        <v>6</v>
      </c>
      <c r="AI19" s="72">
        <f>Table1[[#This Row],[FTE Salaried - Editorial]]+Table1[[#This Row],[FTE Contractors - Editorial]]</f>
        <v>4</v>
      </c>
      <c r="AJ19" s="56">
        <v>4</v>
      </c>
      <c r="AK19" s="56">
        <v>0</v>
      </c>
      <c r="AL19" s="57">
        <f>Table1[[#This Row],[FTE Salaried - Non-Editorial]]+Table1[[#This Row],[FTE Contractors - Non-Editorial]]</f>
        <v>2</v>
      </c>
      <c r="AM19" s="56">
        <v>2</v>
      </c>
      <c r="AN19" s="56">
        <v>0</v>
      </c>
      <c r="AO19" s="83" t="s">
        <v>342</v>
      </c>
      <c r="AP19" s="83" t="s">
        <v>406</v>
      </c>
      <c r="AQ19" s="73">
        <v>82530</v>
      </c>
      <c r="AR19" s="73">
        <v>18000</v>
      </c>
      <c r="AS19" s="73">
        <v>0</v>
      </c>
      <c r="AT19" s="73">
        <v>0</v>
      </c>
      <c r="AU19" s="73">
        <v>0</v>
      </c>
      <c r="AV19" s="83" t="s">
        <v>406</v>
      </c>
      <c r="BC19" s="54"/>
      <c r="BD19" s="54"/>
      <c r="BE19" s="54"/>
      <c r="BF19" s="54"/>
      <c r="BG19" s="54"/>
      <c r="BI19" s="54"/>
      <c r="BK19" s="54"/>
      <c r="BL19" s="54"/>
      <c r="BM19" s="54"/>
      <c r="BN19" s="54"/>
      <c r="BO19" s="54"/>
      <c r="BP19" s="54"/>
      <c r="BS19" s="54"/>
      <c r="BT19" s="54"/>
      <c r="BU19" s="54"/>
      <c r="BV19" s="54"/>
      <c r="BW19" s="54"/>
    </row>
    <row r="20" spans="1:75" x14ac:dyDescent="0.25">
      <c r="A20" s="83" t="s">
        <v>441</v>
      </c>
      <c r="B20" s="83"/>
      <c r="C20" s="83" t="s">
        <v>83</v>
      </c>
      <c r="D20" s="83" t="s">
        <v>78</v>
      </c>
      <c r="E20" s="54" t="str">
        <f>_xlfn.CONCAT(Table1[[#This Row],[Geographic Scope]],": ",Table1[[#This Row],[Sub-Type/Focus]])</f>
        <v>State: Multiple Related Topics</v>
      </c>
      <c r="F20" s="55">
        <f>Table1[[#This Row],[Total Contributed Income]]+Table1[[#This Row],[Total Earned Income]]</f>
        <v>71958</v>
      </c>
      <c r="G20" s="84">
        <f>IFERROR((Table1[[#This Row],[Cont. Income - Foundation]]+Table1[[#This Row],[Cont. Income - Membership]]+Table1[[#This Row],[Cont. Income - Small Donors]]+Table1[[#This Row],[Cont. Income - Med. Donors]]+Table1[[#This Row],[Cont. Income - Major Donors]]+Table1[[#This Row],[Cont. Income - Other]]),0)</f>
        <v>71178</v>
      </c>
      <c r="H20" s="84">
        <f>IFERROR((Table1[[#This Row],[Earned Income - Advertising]]+Table1[[#This Row],[Earned Income - Sponsorships/Underwriting]]+Table1[[#This Row],[Earned Income - Events]]+Table1[[#This Row],[Earned Income - Subscriptions]]+Table1[[#This Row],[Earned Income - Syndication]]+Table1[[#This Row],[Earned Income - Other TOTAL]]),0)</f>
        <v>780</v>
      </c>
      <c r="I20" s="71">
        <v>34678</v>
      </c>
      <c r="J20" s="71">
        <v>0</v>
      </c>
      <c r="K20" s="71">
        <v>15500</v>
      </c>
      <c r="L20" s="71">
        <v>21000</v>
      </c>
      <c r="M20" s="71">
        <v>0</v>
      </c>
      <c r="N20" s="71">
        <v>0</v>
      </c>
      <c r="O20" s="76" t="s">
        <v>406</v>
      </c>
      <c r="P20" s="71">
        <v>0</v>
      </c>
      <c r="Q20" s="71">
        <v>0</v>
      </c>
      <c r="R20" s="71">
        <v>780</v>
      </c>
      <c r="S20" s="71">
        <v>0</v>
      </c>
      <c r="T20" s="71">
        <v>0</v>
      </c>
      <c r="U20" s="85">
        <f>IFERROR(Table1[[#This Row],[Earned Income - Training Fees]]+Table1[[#This Row],[Earned Income - Fees]]+Table1[[#This Row],[Earned Income - Investments]]+Table1[[#This Row],[Earned Income - Other]],0)</f>
        <v>0</v>
      </c>
      <c r="V20" s="71">
        <v>0</v>
      </c>
      <c r="W20" s="71">
        <v>0</v>
      </c>
      <c r="X20" s="83" t="s">
        <v>406</v>
      </c>
      <c r="Y20" s="71">
        <v>0</v>
      </c>
      <c r="Z20" s="71">
        <v>0</v>
      </c>
      <c r="AA20" s="83" t="s">
        <v>406</v>
      </c>
      <c r="AB20" s="85">
        <f t="shared" si="0"/>
        <v>82040</v>
      </c>
      <c r="AC20" s="71">
        <v>45320</v>
      </c>
      <c r="AD20" s="85">
        <f>SUM(Table1[[#This Row],[Expenses - Revenue Generation]:[Expenses - Admin]])</f>
        <v>36720</v>
      </c>
      <c r="AE20" s="71">
        <v>17717</v>
      </c>
      <c r="AF20" s="71">
        <v>6647</v>
      </c>
      <c r="AG20" s="71">
        <v>12356</v>
      </c>
      <c r="AH20" s="72">
        <f>Table1[[#This Row],[Total FTE - Editorial]]+Table1[[#This Row],[Total FTE - Non-Editorial]]</f>
        <v>1.5</v>
      </c>
      <c r="AI20" s="72">
        <f>Table1[[#This Row],[FTE Salaried - Editorial]]+Table1[[#This Row],[FTE Contractors - Editorial]]</f>
        <v>1</v>
      </c>
      <c r="AJ20" s="56">
        <v>1</v>
      </c>
      <c r="AK20" s="56">
        <v>0</v>
      </c>
      <c r="AL20" s="57">
        <f>Table1[[#This Row],[FTE Salaried - Non-Editorial]]+Table1[[#This Row],[FTE Contractors - Non-Editorial]]</f>
        <v>0.5</v>
      </c>
      <c r="AM20" s="56">
        <v>0.5</v>
      </c>
      <c r="AN20" s="56">
        <v>0</v>
      </c>
      <c r="AO20" s="83" t="s">
        <v>342</v>
      </c>
      <c r="AP20" s="83" t="s">
        <v>406</v>
      </c>
      <c r="AQ20" s="73">
        <v>1217</v>
      </c>
      <c r="AR20" s="73">
        <v>2900</v>
      </c>
      <c r="AS20" s="73">
        <v>0</v>
      </c>
      <c r="AT20" s="73">
        <v>0</v>
      </c>
      <c r="AU20" s="73">
        <v>0</v>
      </c>
      <c r="AV20" s="83" t="s">
        <v>406</v>
      </c>
      <c r="BC20" s="54"/>
      <c r="BD20" s="54"/>
      <c r="BE20" s="54"/>
      <c r="BF20" s="54"/>
      <c r="BG20" s="54"/>
      <c r="BI20" s="54"/>
      <c r="BK20" s="54"/>
      <c r="BL20" s="54"/>
      <c r="BM20" s="54"/>
      <c r="BN20" s="54"/>
      <c r="BO20" s="54"/>
      <c r="BP20" s="54"/>
      <c r="BS20" s="54"/>
      <c r="BT20" s="54"/>
      <c r="BU20" s="54"/>
      <c r="BV20" s="54"/>
      <c r="BW20" s="54"/>
    </row>
    <row r="21" spans="1:75" x14ac:dyDescent="0.25">
      <c r="A21" s="83" t="s">
        <v>442</v>
      </c>
      <c r="B21" s="83"/>
      <c r="C21" s="83" t="s">
        <v>83</v>
      </c>
      <c r="D21" s="83" t="s">
        <v>78</v>
      </c>
      <c r="E21" s="54" t="str">
        <f>_xlfn.CONCAT(Table1[[#This Row],[Geographic Scope]],": ",Table1[[#This Row],[Sub-Type/Focus]])</f>
        <v>State: Multiple Related Topics</v>
      </c>
      <c r="F21" s="55">
        <f>Table1[[#This Row],[Total Contributed Income]]+Table1[[#This Row],[Total Earned Income]]</f>
        <v>532822</v>
      </c>
      <c r="G21" s="84">
        <f>IFERROR((Table1[[#This Row],[Cont. Income - Foundation]]+Table1[[#This Row],[Cont. Income - Membership]]+Table1[[#This Row],[Cont. Income - Small Donors]]+Table1[[#This Row],[Cont. Income - Med. Donors]]+Table1[[#This Row],[Cont. Income - Major Donors]]+Table1[[#This Row],[Cont. Income - Other]]),0)</f>
        <v>532763</v>
      </c>
      <c r="H21" s="84">
        <f>IFERROR((Table1[[#This Row],[Earned Income - Advertising]]+Table1[[#This Row],[Earned Income - Sponsorships/Underwriting]]+Table1[[#This Row],[Earned Income - Events]]+Table1[[#This Row],[Earned Income - Subscriptions]]+Table1[[#This Row],[Earned Income - Syndication]]+Table1[[#This Row],[Earned Income - Other TOTAL]]),0)</f>
        <v>59</v>
      </c>
      <c r="I21" s="71">
        <v>366500</v>
      </c>
      <c r="J21" s="71">
        <v>0</v>
      </c>
      <c r="K21" s="71">
        <v>130234</v>
      </c>
      <c r="L21" s="71">
        <v>21029</v>
      </c>
      <c r="M21" s="71">
        <v>15000</v>
      </c>
      <c r="N21" s="71">
        <v>0</v>
      </c>
      <c r="O21" s="76" t="s">
        <v>406</v>
      </c>
      <c r="P21" s="71">
        <v>0</v>
      </c>
      <c r="Q21" s="71">
        <v>0</v>
      </c>
      <c r="R21" s="71">
        <v>0</v>
      </c>
      <c r="S21" s="71">
        <v>0</v>
      </c>
      <c r="T21" s="71">
        <v>59</v>
      </c>
      <c r="U21" s="85">
        <f>IFERROR(Table1[[#This Row],[Earned Income - Training Fees]]+Table1[[#This Row],[Earned Income - Fees]]+Table1[[#This Row],[Earned Income - Investments]]+Table1[[#This Row],[Earned Income - Other]],0)</f>
        <v>0</v>
      </c>
      <c r="V21" s="71">
        <v>0</v>
      </c>
      <c r="W21" s="71">
        <v>0</v>
      </c>
      <c r="X21" s="83" t="s">
        <v>406</v>
      </c>
      <c r="Y21" s="71">
        <v>0</v>
      </c>
      <c r="Z21" s="71">
        <v>0</v>
      </c>
      <c r="AA21" s="83" t="s">
        <v>406</v>
      </c>
      <c r="AB21" s="85">
        <f t="shared" si="0"/>
        <v>522888</v>
      </c>
      <c r="AC21" s="71">
        <v>343770</v>
      </c>
      <c r="AD21" s="85">
        <f>SUM(Table1[[#This Row],[Expenses - Revenue Generation]:[Expenses - Admin]])</f>
        <v>179118</v>
      </c>
      <c r="AE21" s="71">
        <v>66855</v>
      </c>
      <c r="AF21" s="71">
        <v>39750</v>
      </c>
      <c r="AG21" s="71">
        <v>72513</v>
      </c>
      <c r="AH21" s="72">
        <f>Table1[[#This Row],[Total FTE - Editorial]]+Table1[[#This Row],[Total FTE - Non-Editorial]]</f>
        <v>4.5999999999999996</v>
      </c>
      <c r="AI21" s="72">
        <f>Table1[[#This Row],[FTE Salaried - Editorial]]+Table1[[#This Row],[FTE Contractors - Editorial]]</f>
        <v>3.6</v>
      </c>
      <c r="AJ21" s="56">
        <v>1.4</v>
      </c>
      <c r="AK21" s="56">
        <v>2.2000000000000002</v>
      </c>
      <c r="AL21" s="57">
        <f>Table1[[#This Row],[FTE Salaried - Non-Editorial]]+Table1[[#This Row],[FTE Contractors - Non-Editorial]]</f>
        <v>1</v>
      </c>
      <c r="AM21" s="56">
        <v>0</v>
      </c>
      <c r="AN21" s="56">
        <v>1</v>
      </c>
      <c r="AO21" s="83" t="s">
        <v>342</v>
      </c>
      <c r="AP21" s="83" t="s">
        <v>406</v>
      </c>
      <c r="AQ21" s="73">
        <v>69914</v>
      </c>
      <c r="AR21" s="73">
        <v>9830</v>
      </c>
      <c r="AS21" s="73">
        <v>0</v>
      </c>
      <c r="AT21" s="73">
        <v>0</v>
      </c>
      <c r="AU21" s="73">
        <v>0</v>
      </c>
      <c r="AV21" s="83" t="s">
        <v>406</v>
      </c>
      <c r="BC21" s="54"/>
      <c r="BD21" s="54"/>
      <c r="BE21" s="54"/>
      <c r="BF21" s="54"/>
      <c r="BG21" s="54"/>
      <c r="BI21" s="54"/>
      <c r="BK21" s="54"/>
      <c r="BL21" s="54"/>
      <c r="BM21" s="54"/>
      <c r="BN21" s="54"/>
      <c r="BO21" s="54"/>
      <c r="BP21" s="54"/>
      <c r="BS21" s="54"/>
      <c r="BT21" s="54"/>
      <c r="BU21" s="54"/>
      <c r="BV21" s="54"/>
      <c r="BW21" s="54"/>
    </row>
    <row r="22" spans="1:75" x14ac:dyDescent="0.25">
      <c r="A22" s="83" t="s">
        <v>443</v>
      </c>
      <c r="B22" s="83"/>
      <c r="C22" s="83" t="s">
        <v>83</v>
      </c>
      <c r="D22" s="83" t="s">
        <v>79</v>
      </c>
      <c r="E22" s="54" t="str">
        <f>_xlfn.CONCAT(Table1[[#This Row],[Geographic Scope]],": ",Table1[[#This Row],[Sub-Type/Focus]])</f>
        <v>State: Single-Topic</v>
      </c>
      <c r="F22" s="55">
        <f>Table1[[#This Row],[Total Contributed Income]]+Table1[[#This Row],[Total Earned Income]]</f>
        <v>197366</v>
      </c>
      <c r="G22" s="84">
        <f>IFERROR((Table1[[#This Row],[Cont. Income - Foundation]]+Table1[[#This Row],[Cont. Income - Membership]]+Table1[[#This Row],[Cont. Income - Small Donors]]+Table1[[#This Row],[Cont. Income - Med. Donors]]+Table1[[#This Row],[Cont. Income - Major Donors]]+Table1[[#This Row],[Cont. Income - Other]]),0)</f>
        <v>164366</v>
      </c>
      <c r="H22" s="84">
        <f>IFERROR((Table1[[#This Row],[Earned Income - Advertising]]+Table1[[#This Row],[Earned Income - Sponsorships/Underwriting]]+Table1[[#This Row],[Earned Income - Events]]+Table1[[#This Row],[Earned Income - Subscriptions]]+Table1[[#This Row],[Earned Income - Syndication]]+Table1[[#This Row],[Earned Income - Other TOTAL]]),0)</f>
        <v>33000</v>
      </c>
      <c r="I22" s="71">
        <v>100000</v>
      </c>
      <c r="J22" s="71">
        <v>0</v>
      </c>
      <c r="K22" s="71">
        <v>32166</v>
      </c>
      <c r="L22" s="71">
        <v>22200</v>
      </c>
      <c r="M22" s="71">
        <v>10000</v>
      </c>
      <c r="N22" s="71">
        <v>0</v>
      </c>
      <c r="O22" s="76" t="s">
        <v>406</v>
      </c>
      <c r="P22" s="71">
        <v>0</v>
      </c>
      <c r="Q22" s="71">
        <v>0</v>
      </c>
      <c r="R22" s="71">
        <v>0</v>
      </c>
      <c r="S22" s="71">
        <v>0</v>
      </c>
      <c r="T22" s="71">
        <v>0</v>
      </c>
      <c r="U22" s="85">
        <f>IFERROR(Table1[[#This Row],[Earned Income - Training Fees]]+Table1[[#This Row],[Earned Income - Fees]]+Table1[[#This Row],[Earned Income - Investments]]+Table1[[#This Row],[Earned Income - Other]],0)</f>
        <v>33000</v>
      </c>
      <c r="V22" s="71">
        <v>10000</v>
      </c>
      <c r="W22" s="71">
        <v>0</v>
      </c>
      <c r="X22" s="83" t="s">
        <v>406</v>
      </c>
      <c r="Y22" s="71">
        <v>0</v>
      </c>
      <c r="Z22" s="71">
        <v>23000</v>
      </c>
      <c r="AA22" s="83" t="s">
        <v>444</v>
      </c>
      <c r="AB22" s="85">
        <f t="shared" si="0"/>
        <v>187582</v>
      </c>
      <c r="AC22" s="71">
        <v>170260</v>
      </c>
      <c r="AD22" s="85">
        <f>SUM(Table1[[#This Row],[Expenses - Revenue Generation]:[Expenses - Admin]])</f>
        <v>17322</v>
      </c>
      <c r="AE22" s="71">
        <v>1100</v>
      </c>
      <c r="AF22" s="71">
        <v>4040</v>
      </c>
      <c r="AG22" s="71">
        <v>12182</v>
      </c>
      <c r="AH22" s="72">
        <f>Table1[[#This Row],[Total FTE - Editorial]]+Table1[[#This Row],[Total FTE - Non-Editorial]]</f>
        <v>6</v>
      </c>
      <c r="AI22" s="72">
        <f>Table1[[#This Row],[FTE Salaried - Editorial]]+Table1[[#This Row],[FTE Contractors - Editorial]]</f>
        <v>6</v>
      </c>
      <c r="AJ22" s="56">
        <v>0</v>
      </c>
      <c r="AK22" s="56">
        <v>6</v>
      </c>
      <c r="AL22" s="57">
        <f>Table1[[#This Row],[FTE Salaried - Non-Editorial]]+Table1[[#This Row],[FTE Contractors - Non-Editorial]]</f>
        <v>0</v>
      </c>
      <c r="AM22" s="56">
        <v>0</v>
      </c>
      <c r="AN22" s="56">
        <v>0</v>
      </c>
      <c r="AO22" s="83" t="s">
        <v>342</v>
      </c>
      <c r="AP22" s="83" t="s">
        <v>406</v>
      </c>
      <c r="AQ22" s="73">
        <v>12116</v>
      </c>
      <c r="AR22" s="73">
        <v>5300</v>
      </c>
      <c r="AS22" s="73">
        <v>0</v>
      </c>
      <c r="AT22" s="73">
        <v>0</v>
      </c>
      <c r="AU22" s="73">
        <v>0</v>
      </c>
      <c r="AV22" s="83" t="s">
        <v>406</v>
      </c>
      <c r="BC22" s="54"/>
      <c r="BD22" s="54"/>
      <c r="BE22" s="54"/>
      <c r="BF22" s="54"/>
      <c r="BG22" s="54"/>
      <c r="BI22" s="54"/>
      <c r="BK22" s="54"/>
      <c r="BL22" s="54"/>
      <c r="BM22" s="54"/>
      <c r="BN22" s="54"/>
      <c r="BO22" s="54"/>
      <c r="BP22" s="54"/>
      <c r="BS22" s="54"/>
      <c r="BT22" s="54"/>
      <c r="BU22" s="54"/>
      <c r="BV22" s="54"/>
      <c r="BW22" s="54"/>
    </row>
    <row r="23" spans="1:75" x14ac:dyDescent="0.25">
      <c r="A23" s="83" t="s">
        <v>445</v>
      </c>
      <c r="B23" s="83"/>
      <c r="C23" s="83" t="s">
        <v>6</v>
      </c>
      <c r="D23" s="83" t="s">
        <v>79</v>
      </c>
      <c r="E23" s="54" t="str">
        <f>_xlfn.CONCAT(Table1[[#This Row],[Geographic Scope]],": ",Table1[[#This Row],[Sub-Type/Focus]])</f>
        <v>National: Single-Topic</v>
      </c>
      <c r="F23" s="55">
        <f>Table1[[#This Row],[Total Contributed Income]]+Table1[[#This Row],[Total Earned Income]]</f>
        <v>1131191</v>
      </c>
      <c r="G23" s="84">
        <f>IFERROR((Table1[[#This Row],[Cont. Income - Foundation]]+Table1[[#This Row],[Cont. Income - Membership]]+Table1[[#This Row],[Cont. Income - Small Donors]]+Table1[[#This Row],[Cont. Income - Med. Donors]]+Table1[[#This Row],[Cont. Income - Major Donors]]+Table1[[#This Row],[Cont. Income - Other]]),0)</f>
        <v>471850</v>
      </c>
      <c r="H23" s="84">
        <f>IFERROR((Table1[[#This Row],[Earned Income - Advertising]]+Table1[[#This Row],[Earned Income - Sponsorships/Underwriting]]+Table1[[#This Row],[Earned Income - Events]]+Table1[[#This Row],[Earned Income - Subscriptions]]+Table1[[#This Row],[Earned Income - Syndication]]+Table1[[#This Row],[Earned Income - Other TOTAL]]),0)</f>
        <v>659341</v>
      </c>
      <c r="I23" s="71">
        <v>455820</v>
      </c>
      <c r="J23" s="71">
        <v>0</v>
      </c>
      <c r="K23" s="71">
        <v>13030</v>
      </c>
      <c r="L23" s="71">
        <v>3000</v>
      </c>
      <c r="M23" s="71">
        <v>0</v>
      </c>
      <c r="N23" s="71">
        <v>0</v>
      </c>
      <c r="O23" s="76" t="s">
        <v>406</v>
      </c>
      <c r="P23" s="71">
        <v>418168</v>
      </c>
      <c r="Q23" s="71">
        <v>0</v>
      </c>
      <c r="R23" s="71">
        <v>13200</v>
      </c>
      <c r="S23" s="71">
        <v>227973</v>
      </c>
      <c r="T23" s="71">
        <v>0</v>
      </c>
      <c r="U23" s="85">
        <f>IFERROR(Table1[[#This Row],[Earned Income - Training Fees]]+Table1[[#This Row],[Earned Income - Fees]]+Table1[[#This Row],[Earned Income - Investments]]+Table1[[#This Row],[Earned Income - Other]],0)</f>
        <v>0</v>
      </c>
      <c r="V23" s="71">
        <v>0</v>
      </c>
      <c r="W23" s="71">
        <v>0</v>
      </c>
      <c r="X23" s="83" t="s">
        <v>406</v>
      </c>
      <c r="Y23" s="71">
        <v>0</v>
      </c>
      <c r="Z23" s="71">
        <v>0</v>
      </c>
      <c r="AA23" s="83" t="s">
        <v>406</v>
      </c>
      <c r="AB23" s="85">
        <f t="shared" si="0"/>
        <v>1131190</v>
      </c>
      <c r="AC23" s="71">
        <v>694000</v>
      </c>
      <c r="AD23" s="85">
        <f>SUM(Table1[[#This Row],[Expenses - Revenue Generation]:[Expenses - Admin]])</f>
        <v>437190</v>
      </c>
      <c r="AE23" s="71">
        <v>260000</v>
      </c>
      <c r="AF23" s="71">
        <v>7500</v>
      </c>
      <c r="AG23" s="71">
        <v>169690</v>
      </c>
      <c r="AH23" s="72">
        <f>Table1[[#This Row],[Total FTE - Editorial]]+Table1[[#This Row],[Total FTE - Non-Editorial]]</f>
        <v>7.75</v>
      </c>
      <c r="AI23" s="72">
        <f>Table1[[#This Row],[FTE Salaried - Editorial]]+Table1[[#This Row],[FTE Contractors - Editorial]]</f>
        <v>5</v>
      </c>
      <c r="AJ23" s="56">
        <v>4.5</v>
      </c>
      <c r="AK23" s="56">
        <v>0.5</v>
      </c>
      <c r="AL23" s="57">
        <f>Table1[[#This Row],[FTE Salaried - Non-Editorial]]+Table1[[#This Row],[FTE Contractors - Non-Editorial]]</f>
        <v>2.75</v>
      </c>
      <c r="AM23" s="56">
        <v>1.5</v>
      </c>
      <c r="AN23" s="56">
        <v>1.25</v>
      </c>
      <c r="AO23" s="83" t="s">
        <v>342</v>
      </c>
      <c r="AP23" s="83" t="s">
        <v>406</v>
      </c>
      <c r="AQ23" s="73">
        <v>50000</v>
      </c>
      <c r="AR23" s="73">
        <v>5000</v>
      </c>
      <c r="AS23" s="73">
        <v>2300</v>
      </c>
      <c r="AT23" s="73">
        <v>8</v>
      </c>
      <c r="AU23" s="73">
        <v>0</v>
      </c>
      <c r="AV23" s="83" t="s">
        <v>406</v>
      </c>
      <c r="BC23" s="54"/>
      <c r="BD23" s="54"/>
      <c r="BE23" s="54"/>
      <c r="BF23" s="54"/>
      <c r="BG23" s="54"/>
      <c r="BI23" s="54"/>
      <c r="BK23" s="54"/>
      <c r="BL23" s="54"/>
      <c r="BM23" s="54"/>
      <c r="BN23" s="54"/>
      <c r="BO23" s="54"/>
      <c r="BP23" s="54"/>
      <c r="BS23" s="54"/>
      <c r="BT23" s="54"/>
      <c r="BU23" s="54"/>
      <c r="BV23" s="54"/>
      <c r="BW23" s="54"/>
    </row>
    <row r="24" spans="1:75" x14ac:dyDescent="0.25">
      <c r="A24" s="83" t="s">
        <v>446</v>
      </c>
      <c r="B24" s="83"/>
      <c r="C24" s="80" t="s">
        <v>7</v>
      </c>
      <c r="D24" s="83" t="s">
        <v>79</v>
      </c>
      <c r="E24" s="54" t="str">
        <f>_xlfn.CONCAT(Table1[[#This Row],[Geographic Scope]],": ",Table1[[#This Row],[Sub-Type/Focus]])</f>
        <v>Local: Single-Topic</v>
      </c>
      <c r="F24" s="55">
        <f>Table1[[#This Row],[Total Contributed Income]]+Table1[[#This Row],[Total Earned Income]]</f>
        <v>147716.78999999998</v>
      </c>
      <c r="G24" s="84">
        <f>IFERROR((Table1[[#This Row],[Cont. Income - Foundation]]+Table1[[#This Row],[Cont. Income - Membership]]+Table1[[#This Row],[Cont. Income - Small Donors]]+Table1[[#This Row],[Cont. Income - Med. Donors]]+Table1[[#This Row],[Cont. Income - Major Donors]]+Table1[[#This Row],[Cont. Income - Other]]),0)</f>
        <v>147716.78999999998</v>
      </c>
      <c r="H24" s="84">
        <f>IFERROR((Table1[[#This Row],[Earned Income - Advertising]]+Table1[[#This Row],[Earned Income - Sponsorships/Underwriting]]+Table1[[#This Row],[Earned Income - Events]]+Table1[[#This Row],[Earned Income - Subscriptions]]+Table1[[#This Row],[Earned Income - Syndication]]+Table1[[#This Row],[Earned Income - Other TOTAL]]),0)</f>
        <v>0</v>
      </c>
      <c r="I24" s="71">
        <v>104716.79</v>
      </c>
      <c r="J24" s="71">
        <v>0</v>
      </c>
      <c r="K24" s="71">
        <v>3000</v>
      </c>
      <c r="L24" s="71">
        <v>40000</v>
      </c>
      <c r="M24" s="71">
        <v>0</v>
      </c>
      <c r="N24" s="71">
        <v>0</v>
      </c>
      <c r="O24" s="76" t="s">
        <v>406</v>
      </c>
      <c r="P24" s="71">
        <v>0</v>
      </c>
      <c r="Q24" s="71">
        <v>0</v>
      </c>
      <c r="R24" s="71">
        <v>0</v>
      </c>
      <c r="S24" s="71">
        <v>0</v>
      </c>
      <c r="T24" s="71">
        <v>0</v>
      </c>
      <c r="U24" s="85">
        <f>IFERROR(Table1[[#This Row],[Earned Income - Training Fees]]+Table1[[#This Row],[Earned Income - Fees]]+Table1[[#This Row],[Earned Income - Investments]]+Table1[[#This Row],[Earned Income - Other]],0)</f>
        <v>0</v>
      </c>
      <c r="V24" s="71">
        <v>0</v>
      </c>
      <c r="W24" s="71">
        <v>0</v>
      </c>
      <c r="X24" s="83" t="s">
        <v>406</v>
      </c>
      <c r="Y24" s="71">
        <v>0</v>
      </c>
      <c r="Z24" s="71">
        <v>0</v>
      </c>
      <c r="AA24" s="83" t="s">
        <v>406</v>
      </c>
      <c r="AB24" s="85">
        <f t="shared" si="0"/>
        <v>160646</v>
      </c>
      <c r="AC24" s="71">
        <v>146907</v>
      </c>
      <c r="AD24" s="85">
        <f>SUM(Table1[[#This Row],[Expenses - Revenue Generation]:[Expenses - Admin]])</f>
        <v>13739</v>
      </c>
      <c r="AE24" s="71">
        <v>0</v>
      </c>
      <c r="AF24" s="71">
        <v>13739</v>
      </c>
      <c r="AG24" s="71">
        <v>0</v>
      </c>
      <c r="AH24" s="72">
        <f>Table1[[#This Row],[Total FTE - Editorial]]+Table1[[#This Row],[Total FTE - Non-Editorial]]</f>
        <v>3</v>
      </c>
      <c r="AI24" s="72">
        <f>Table1[[#This Row],[FTE Salaried - Editorial]]+Table1[[#This Row],[FTE Contractors - Editorial]]</f>
        <v>3</v>
      </c>
      <c r="AJ24" s="56">
        <v>2</v>
      </c>
      <c r="AK24" s="56">
        <v>1</v>
      </c>
      <c r="AL24" s="57">
        <f>Table1[[#This Row],[FTE Salaried - Non-Editorial]]+Table1[[#This Row],[FTE Contractors - Non-Editorial]]</f>
        <v>0</v>
      </c>
      <c r="AM24" s="56">
        <v>0</v>
      </c>
      <c r="AN24" s="56">
        <v>0</v>
      </c>
      <c r="AO24" s="83" t="s">
        <v>342</v>
      </c>
      <c r="AP24" s="83" t="s">
        <v>406</v>
      </c>
      <c r="AQ24" s="73">
        <v>20000</v>
      </c>
      <c r="AR24" s="73">
        <v>3300</v>
      </c>
      <c r="AS24" s="73">
        <v>0</v>
      </c>
      <c r="AT24" s="73">
        <v>0</v>
      </c>
      <c r="AU24" s="73">
        <v>0</v>
      </c>
      <c r="AV24" s="83" t="s">
        <v>406</v>
      </c>
      <c r="BC24" s="54"/>
      <c r="BD24" s="54"/>
      <c r="BE24" s="54"/>
      <c r="BF24" s="54"/>
      <c r="BG24" s="54"/>
      <c r="BI24" s="54"/>
      <c r="BK24" s="54"/>
      <c r="BL24" s="54"/>
      <c r="BM24" s="54"/>
      <c r="BN24" s="54"/>
      <c r="BO24" s="54"/>
      <c r="BP24" s="54"/>
      <c r="BS24" s="54"/>
      <c r="BT24" s="54"/>
      <c r="BU24" s="54"/>
      <c r="BV24" s="54"/>
      <c r="BW24" s="54"/>
    </row>
    <row r="25" spans="1:75" x14ac:dyDescent="0.25">
      <c r="A25" s="83" t="s">
        <v>447</v>
      </c>
      <c r="B25" s="83"/>
      <c r="C25" s="83" t="s">
        <v>83</v>
      </c>
      <c r="D25" s="83" t="s">
        <v>79</v>
      </c>
      <c r="E25" s="54" t="str">
        <f>_xlfn.CONCAT(Table1[[#This Row],[Geographic Scope]],": ",Table1[[#This Row],[Sub-Type/Focus]])</f>
        <v>State: Single-Topic</v>
      </c>
      <c r="F25" s="55">
        <f>Table1[[#This Row],[Total Contributed Income]]+Table1[[#This Row],[Total Earned Income]]</f>
        <v>248231</v>
      </c>
      <c r="G25" s="84">
        <f>IFERROR((Table1[[#This Row],[Cont. Income - Foundation]]+Table1[[#This Row],[Cont. Income - Membership]]+Table1[[#This Row],[Cont. Income - Small Donors]]+Table1[[#This Row],[Cont. Income - Med. Donors]]+Table1[[#This Row],[Cont. Income - Major Donors]]+Table1[[#This Row],[Cont. Income - Other]]),0)</f>
        <v>211786</v>
      </c>
      <c r="H25" s="84">
        <f>IFERROR((Table1[[#This Row],[Earned Income - Advertising]]+Table1[[#This Row],[Earned Income - Sponsorships/Underwriting]]+Table1[[#This Row],[Earned Income - Events]]+Table1[[#This Row],[Earned Income - Subscriptions]]+Table1[[#This Row],[Earned Income - Syndication]]+Table1[[#This Row],[Earned Income - Other TOTAL]]),0)</f>
        <v>36445</v>
      </c>
      <c r="I25" s="71">
        <v>115050</v>
      </c>
      <c r="J25" s="71">
        <v>0</v>
      </c>
      <c r="K25" s="71">
        <v>52948</v>
      </c>
      <c r="L25" s="71">
        <v>13788</v>
      </c>
      <c r="M25" s="71">
        <v>30000</v>
      </c>
      <c r="N25" s="71">
        <v>0</v>
      </c>
      <c r="O25" s="76" t="s">
        <v>406</v>
      </c>
      <c r="P25" s="71">
        <v>13504</v>
      </c>
      <c r="Q25" s="71">
        <v>2000</v>
      </c>
      <c r="R25" s="71">
        <v>20891</v>
      </c>
      <c r="S25" s="71">
        <v>0</v>
      </c>
      <c r="T25" s="71">
        <v>50</v>
      </c>
      <c r="U25" s="85">
        <f>IFERROR(Table1[[#This Row],[Earned Income - Training Fees]]+Table1[[#This Row],[Earned Income - Fees]]+Table1[[#This Row],[Earned Income - Investments]]+Table1[[#This Row],[Earned Income - Other]],0)</f>
        <v>0</v>
      </c>
      <c r="V25" s="71">
        <v>0</v>
      </c>
      <c r="W25" s="71">
        <v>0</v>
      </c>
      <c r="X25" s="83" t="s">
        <v>406</v>
      </c>
      <c r="Y25" s="71">
        <v>0</v>
      </c>
      <c r="Z25" s="71">
        <v>0</v>
      </c>
      <c r="AA25" s="83" t="s">
        <v>406</v>
      </c>
      <c r="AB25" s="85">
        <f t="shared" si="0"/>
        <v>178000</v>
      </c>
      <c r="AC25" s="71">
        <v>128000</v>
      </c>
      <c r="AD25" s="85">
        <f>SUM(Table1[[#This Row],[Expenses - Revenue Generation]:[Expenses - Admin]])</f>
        <v>50000</v>
      </c>
      <c r="AE25" s="71">
        <v>30000</v>
      </c>
      <c r="AF25" s="71">
        <v>7000</v>
      </c>
      <c r="AG25" s="71">
        <v>13000</v>
      </c>
      <c r="AH25" s="72">
        <f>Table1[[#This Row],[Total FTE - Editorial]]+Table1[[#This Row],[Total FTE - Non-Editorial]]</f>
        <v>5</v>
      </c>
      <c r="AI25" s="72">
        <f>Table1[[#This Row],[FTE Salaried - Editorial]]+Table1[[#This Row],[FTE Contractors - Editorial]]</f>
        <v>4</v>
      </c>
      <c r="AJ25" s="56">
        <v>3</v>
      </c>
      <c r="AK25" s="56">
        <v>1</v>
      </c>
      <c r="AL25" s="57">
        <f>Table1[[#This Row],[FTE Salaried - Non-Editorial]]+Table1[[#This Row],[FTE Contractors - Non-Editorial]]</f>
        <v>1</v>
      </c>
      <c r="AM25" s="56">
        <v>1</v>
      </c>
      <c r="AN25" s="56">
        <v>0</v>
      </c>
      <c r="AO25" s="83" t="s">
        <v>342</v>
      </c>
      <c r="AP25" s="83" t="s">
        <v>406</v>
      </c>
      <c r="AQ25" s="73">
        <v>28032</v>
      </c>
      <c r="AR25" s="73">
        <v>13000</v>
      </c>
      <c r="AS25" s="73">
        <v>0</v>
      </c>
      <c r="AT25" s="73">
        <v>0</v>
      </c>
      <c r="AU25" s="73">
        <v>0</v>
      </c>
      <c r="AV25" s="83" t="s">
        <v>406</v>
      </c>
      <c r="BC25" s="54"/>
      <c r="BD25" s="54"/>
      <c r="BE25" s="54"/>
      <c r="BF25" s="54"/>
      <c r="BG25" s="54"/>
      <c r="BI25" s="54"/>
      <c r="BK25" s="54"/>
      <c r="BL25" s="54"/>
      <c r="BM25" s="54"/>
      <c r="BN25" s="54"/>
      <c r="BO25" s="54"/>
      <c r="BP25" s="54"/>
      <c r="BS25" s="54"/>
      <c r="BT25" s="54"/>
      <c r="BU25" s="54"/>
      <c r="BV25" s="54"/>
      <c r="BW25" s="54"/>
    </row>
    <row r="26" spans="1:75" x14ac:dyDescent="0.25">
      <c r="A26" s="83" t="s">
        <v>448</v>
      </c>
      <c r="B26" s="83"/>
      <c r="C26" s="83" t="s">
        <v>83</v>
      </c>
      <c r="D26" s="83" t="s">
        <v>78</v>
      </c>
      <c r="E26" s="54" t="str">
        <f>_xlfn.CONCAT(Table1[[#This Row],[Geographic Scope]],": ",Table1[[#This Row],[Sub-Type/Focus]])</f>
        <v>State: Multiple Related Topics</v>
      </c>
      <c r="F26" s="55">
        <f>Table1[[#This Row],[Total Contributed Income]]+Table1[[#This Row],[Total Earned Income]]</f>
        <v>4690848</v>
      </c>
      <c r="G26" s="84">
        <f>IFERROR((Table1[[#This Row],[Cont. Income - Foundation]]+Table1[[#This Row],[Cont. Income - Membership]]+Table1[[#This Row],[Cont. Income - Small Donors]]+Table1[[#This Row],[Cont. Income - Med. Donors]]+Table1[[#This Row],[Cont. Income - Major Donors]]+Table1[[#This Row],[Cont. Income - Other]]),0)</f>
        <v>4433973</v>
      </c>
      <c r="H26" s="84">
        <f>IFERROR((Table1[[#This Row],[Earned Income - Advertising]]+Table1[[#This Row],[Earned Income - Sponsorships/Underwriting]]+Table1[[#This Row],[Earned Income - Events]]+Table1[[#This Row],[Earned Income - Subscriptions]]+Table1[[#This Row],[Earned Income - Syndication]]+Table1[[#This Row],[Earned Income - Other TOTAL]]),0)</f>
        <v>256875</v>
      </c>
      <c r="I26" s="71">
        <v>4415614</v>
      </c>
      <c r="J26" s="71">
        <v>0</v>
      </c>
      <c r="K26" s="71">
        <v>13359</v>
      </c>
      <c r="L26" s="71">
        <v>5000</v>
      </c>
      <c r="M26" s="71">
        <v>0</v>
      </c>
      <c r="N26" s="71">
        <v>0</v>
      </c>
      <c r="O26" s="76" t="s">
        <v>406</v>
      </c>
      <c r="P26" s="71">
        <v>0</v>
      </c>
      <c r="Q26" s="71">
        <v>0</v>
      </c>
      <c r="R26" s="71">
        <v>0</v>
      </c>
      <c r="S26" s="71">
        <v>0</v>
      </c>
      <c r="T26" s="71">
        <v>0</v>
      </c>
      <c r="U26" s="85">
        <f>IFERROR(Table1[[#This Row],[Earned Income - Training Fees]]+Table1[[#This Row],[Earned Income - Fees]]+Table1[[#This Row],[Earned Income - Investments]]+Table1[[#This Row],[Earned Income - Other]],0)</f>
        <v>256875</v>
      </c>
      <c r="V26" s="71">
        <v>0</v>
      </c>
      <c r="W26" s="71">
        <v>243666</v>
      </c>
      <c r="X26" s="83" t="s">
        <v>449</v>
      </c>
      <c r="Y26" s="71">
        <v>571</v>
      </c>
      <c r="Z26" s="71">
        <v>12638</v>
      </c>
      <c r="AA26" s="83" t="s">
        <v>450</v>
      </c>
      <c r="AB26" s="85">
        <f t="shared" si="0"/>
        <v>199371</v>
      </c>
      <c r="AC26" s="71">
        <v>151826</v>
      </c>
      <c r="AD26" s="85">
        <f>SUM(Table1[[#This Row],[Expenses - Revenue Generation]:[Expenses - Admin]])</f>
        <v>47545</v>
      </c>
      <c r="AE26" s="71">
        <v>5063</v>
      </c>
      <c r="AF26" s="71">
        <v>31459</v>
      </c>
      <c r="AG26" s="71">
        <v>11023</v>
      </c>
      <c r="AH26" s="72">
        <f>Table1[[#This Row],[Total FTE - Editorial]]+Table1[[#This Row],[Total FTE - Non-Editorial]]</f>
        <v>23</v>
      </c>
      <c r="AI26" s="72">
        <f>Table1[[#This Row],[FTE Salaried - Editorial]]+Table1[[#This Row],[FTE Contractors - Editorial]]</f>
        <v>19</v>
      </c>
      <c r="AJ26" s="56">
        <v>19</v>
      </c>
      <c r="AK26" s="56">
        <v>0</v>
      </c>
      <c r="AL26" s="57">
        <f>Table1[[#This Row],[FTE Salaried - Non-Editorial]]+Table1[[#This Row],[FTE Contractors - Non-Editorial]]</f>
        <v>4</v>
      </c>
      <c r="AM26" s="56">
        <v>4</v>
      </c>
      <c r="AN26" s="56">
        <v>0</v>
      </c>
      <c r="AO26" s="83" t="s">
        <v>342</v>
      </c>
      <c r="AP26" s="83" t="s">
        <v>406</v>
      </c>
      <c r="AQ26" s="73">
        <v>301639</v>
      </c>
      <c r="AR26" s="73">
        <v>28800</v>
      </c>
      <c r="AS26" s="73">
        <v>0</v>
      </c>
      <c r="AT26" s="73">
        <v>0</v>
      </c>
      <c r="AU26" s="73">
        <v>43474</v>
      </c>
      <c r="AV26" s="83" t="s">
        <v>406</v>
      </c>
      <c r="BC26" s="54"/>
      <c r="BD26" s="54"/>
      <c r="BE26" s="54"/>
      <c r="BF26" s="54"/>
      <c r="BG26" s="54"/>
      <c r="BI26" s="54"/>
      <c r="BK26" s="54"/>
      <c r="BL26" s="54"/>
      <c r="BM26" s="54"/>
      <c r="BN26" s="54"/>
      <c r="BO26" s="54"/>
      <c r="BP26" s="54"/>
      <c r="BS26" s="54"/>
      <c r="BT26" s="54"/>
      <c r="BU26" s="54"/>
      <c r="BV26" s="54"/>
      <c r="BW26" s="54"/>
    </row>
    <row r="27" spans="1:75" x14ac:dyDescent="0.25">
      <c r="A27" s="83" t="s">
        <v>451</v>
      </c>
      <c r="B27" s="83"/>
      <c r="C27" s="83" t="s">
        <v>6</v>
      </c>
      <c r="D27" s="83" t="s">
        <v>79</v>
      </c>
      <c r="E27" s="54" t="str">
        <f>_xlfn.CONCAT(Table1[[#This Row],[Geographic Scope]],": ",Table1[[#This Row],[Sub-Type/Focus]])</f>
        <v>National: Single-Topic</v>
      </c>
      <c r="F27" s="55">
        <f>Table1[[#This Row],[Total Contributed Income]]+Table1[[#This Row],[Total Earned Income]]</f>
        <v>1226000</v>
      </c>
      <c r="G27" s="84">
        <f>IFERROR((Table1[[#This Row],[Cont. Income - Foundation]]+Table1[[#This Row],[Cont. Income - Membership]]+Table1[[#This Row],[Cont. Income - Small Donors]]+Table1[[#This Row],[Cont. Income - Med. Donors]]+Table1[[#This Row],[Cont. Income - Major Donors]]+Table1[[#This Row],[Cont. Income - Other]]),0)</f>
        <v>1205000</v>
      </c>
      <c r="H27" s="84">
        <f>IFERROR((Table1[[#This Row],[Earned Income - Advertising]]+Table1[[#This Row],[Earned Income - Sponsorships/Underwriting]]+Table1[[#This Row],[Earned Income - Events]]+Table1[[#This Row],[Earned Income - Subscriptions]]+Table1[[#This Row],[Earned Income - Syndication]]+Table1[[#This Row],[Earned Income - Other TOTAL]]),0)</f>
        <v>21000</v>
      </c>
      <c r="I27" s="71">
        <v>1200000</v>
      </c>
      <c r="J27" s="71">
        <v>0</v>
      </c>
      <c r="K27" s="71">
        <v>5000</v>
      </c>
      <c r="L27" s="71">
        <v>0</v>
      </c>
      <c r="M27" s="71">
        <v>0</v>
      </c>
      <c r="N27" s="71">
        <v>0</v>
      </c>
      <c r="O27" s="76" t="s">
        <v>406</v>
      </c>
      <c r="P27" s="71">
        <v>11000</v>
      </c>
      <c r="Q27" s="71">
        <v>0</v>
      </c>
      <c r="R27" s="71">
        <v>10000</v>
      </c>
      <c r="S27" s="71">
        <v>0</v>
      </c>
      <c r="T27" s="71">
        <v>0</v>
      </c>
      <c r="U27" s="85">
        <f>IFERROR(Table1[[#This Row],[Earned Income - Training Fees]]+Table1[[#This Row],[Earned Income - Fees]]+Table1[[#This Row],[Earned Income - Investments]]+Table1[[#This Row],[Earned Income - Other]],0)</f>
        <v>0</v>
      </c>
      <c r="V27" s="71">
        <v>0</v>
      </c>
      <c r="W27" s="71">
        <v>0</v>
      </c>
      <c r="X27" s="83" t="s">
        <v>406</v>
      </c>
      <c r="Y27" s="71">
        <v>0</v>
      </c>
      <c r="Z27" s="71">
        <v>0</v>
      </c>
      <c r="AA27" s="83" t="s">
        <v>406</v>
      </c>
      <c r="AB27" s="85">
        <f t="shared" si="0"/>
        <v>1205000</v>
      </c>
      <c r="AC27" s="71">
        <v>705000</v>
      </c>
      <c r="AD27" s="85">
        <f>SUM(Table1[[#This Row],[Expenses - Revenue Generation]:[Expenses - Admin]])</f>
        <v>500000</v>
      </c>
      <c r="AE27" s="71">
        <v>100000</v>
      </c>
      <c r="AF27" s="71">
        <v>20000</v>
      </c>
      <c r="AG27" s="71">
        <v>380000</v>
      </c>
      <c r="AH27" s="72">
        <f>Table1[[#This Row],[Total FTE - Editorial]]+Table1[[#This Row],[Total FTE - Non-Editorial]]</f>
        <v>10.75</v>
      </c>
      <c r="AI27" s="72">
        <f>Table1[[#This Row],[FTE Salaried - Editorial]]+Table1[[#This Row],[FTE Contractors - Editorial]]</f>
        <v>10</v>
      </c>
      <c r="AJ27" s="56">
        <v>3</v>
      </c>
      <c r="AK27" s="56">
        <v>7</v>
      </c>
      <c r="AL27" s="57">
        <f>Table1[[#This Row],[FTE Salaried - Non-Editorial]]+Table1[[#This Row],[FTE Contractors - Non-Editorial]]</f>
        <v>0.75</v>
      </c>
      <c r="AM27" s="56">
        <v>0.5</v>
      </c>
      <c r="AN27" s="56">
        <v>0.25</v>
      </c>
      <c r="AO27" s="83" t="s">
        <v>342</v>
      </c>
      <c r="AP27" s="83" t="s">
        <v>406</v>
      </c>
      <c r="AQ27" s="73">
        <v>95000</v>
      </c>
      <c r="AR27" s="73">
        <v>25000</v>
      </c>
      <c r="AS27" s="73">
        <v>0</v>
      </c>
      <c r="AT27" s="73">
        <v>0</v>
      </c>
      <c r="AU27" s="73">
        <v>0</v>
      </c>
      <c r="AV27" s="83" t="s">
        <v>406</v>
      </c>
      <c r="BC27" s="54"/>
      <c r="BD27" s="54"/>
      <c r="BE27" s="54"/>
      <c r="BF27" s="54"/>
      <c r="BG27" s="54"/>
      <c r="BI27" s="54"/>
      <c r="BK27" s="54"/>
      <c r="BL27" s="54"/>
      <c r="BM27" s="54"/>
      <c r="BN27" s="54"/>
      <c r="BO27" s="54"/>
      <c r="BP27" s="54"/>
      <c r="BS27" s="54"/>
      <c r="BT27" s="54"/>
      <c r="BU27" s="54"/>
      <c r="BV27" s="54"/>
      <c r="BW27" s="54"/>
    </row>
    <row r="28" spans="1:75" x14ac:dyDescent="0.25">
      <c r="A28" s="80" t="s">
        <v>452</v>
      </c>
      <c r="B28" s="80"/>
      <c r="C28" s="80" t="s">
        <v>7</v>
      </c>
      <c r="D28" s="80" t="s">
        <v>77</v>
      </c>
      <c r="E28" s="57" t="str">
        <f>_xlfn.CONCAT(Table1[[#This Row],[Geographic Scope]],": ",Table1[[#This Row],[Sub-Type/Focus]])</f>
        <v>Local: General</v>
      </c>
      <c r="F28" s="68">
        <f>Table1[[#This Row],[Total Contributed Income]]+Table1[[#This Row],[Total Earned Income]]</f>
        <v>0</v>
      </c>
      <c r="G28" s="86">
        <f>IFERROR((Table1[[#This Row],[Cont. Income - Foundation]]+Table1[[#This Row],[Cont. Income - Membership]]+Table1[[#This Row],[Cont. Income - Small Donors]]+Table1[[#This Row],[Cont. Income - Med. Donors]]+Table1[[#This Row],[Cont. Income - Major Donors]]+Table1[[#This Row],[Cont. Income - Other]]),0)</f>
        <v>0</v>
      </c>
      <c r="H28" s="86">
        <f>IFERROR((Table1[[#This Row],[Earned Income - Advertising]]+Table1[[#This Row],[Earned Income - Sponsorships/Underwriting]]+Table1[[#This Row],[Earned Income - Events]]+Table1[[#This Row],[Earned Income - Subscriptions]]+Table1[[#This Row],[Earned Income - Syndication]]+Table1[[#This Row],[Earned Income - Other TOTAL]]),0)</f>
        <v>0</v>
      </c>
      <c r="I28" s="71"/>
      <c r="J28" s="71"/>
      <c r="K28" s="71"/>
      <c r="L28" s="71"/>
      <c r="M28" s="71"/>
      <c r="N28" s="71"/>
      <c r="O28" s="76"/>
      <c r="P28" s="71"/>
      <c r="Q28" s="71"/>
      <c r="R28" s="71"/>
      <c r="S28" s="71"/>
      <c r="T28" s="71"/>
      <c r="U28" s="82">
        <f>IFERROR(Table1[[#This Row],[Earned Income - Training Fees]]+Table1[[#This Row],[Earned Income - Fees]]+Table1[[#This Row],[Earned Income - Investments]]+Table1[[#This Row],[Earned Income - Other]],0)</f>
        <v>0</v>
      </c>
      <c r="V28" s="71"/>
      <c r="W28" s="71"/>
      <c r="X28" s="80"/>
      <c r="Y28" s="71"/>
      <c r="Z28" s="71"/>
      <c r="AA28" s="80"/>
      <c r="AB28" s="82">
        <f t="shared" si="0"/>
        <v>0</v>
      </c>
      <c r="AC28" s="71" t="s">
        <v>406</v>
      </c>
      <c r="AD28" s="82">
        <f>SUM(Table1[[#This Row],[Expenses - Revenue Generation]:[Expenses - Admin]])</f>
        <v>0</v>
      </c>
      <c r="AE28" s="71" t="s">
        <v>406</v>
      </c>
      <c r="AF28" s="71" t="s">
        <v>406</v>
      </c>
      <c r="AG28" s="71" t="s">
        <v>406</v>
      </c>
      <c r="AH28" s="72">
        <f>Table1[[#This Row],[Total FTE - Editorial]]+Table1[[#This Row],[Total FTE - Non-Editorial]]</f>
        <v>2</v>
      </c>
      <c r="AI28" s="72">
        <f>Table1[[#This Row],[FTE Salaried - Editorial]]+Table1[[#This Row],[FTE Contractors - Editorial]]</f>
        <v>2</v>
      </c>
      <c r="AJ28" s="56">
        <v>2</v>
      </c>
      <c r="AK28" s="56">
        <v>0</v>
      </c>
      <c r="AL28" s="57">
        <f>Table1[[#This Row],[FTE Salaried - Non-Editorial]]+Table1[[#This Row],[FTE Contractors - Non-Editorial]]</f>
        <v>0</v>
      </c>
      <c r="AM28" s="56">
        <v>0</v>
      </c>
      <c r="AN28" s="56">
        <v>0</v>
      </c>
      <c r="AO28" s="80"/>
      <c r="AP28" s="80" t="s">
        <v>406</v>
      </c>
      <c r="AQ28" s="73" t="s">
        <v>406</v>
      </c>
      <c r="AR28" s="73" t="s">
        <v>406</v>
      </c>
      <c r="AS28" s="73" t="s">
        <v>406</v>
      </c>
      <c r="AT28" s="73" t="s">
        <v>406</v>
      </c>
      <c r="AU28" s="73" t="s">
        <v>406</v>
      </c>
      <c r="AV28" s="80" t="s">
        <v>406</v>
      </c>
      <c r="BC28" s="54"/>
      <c r="BD28" s="54"/>
      <c r="BE28" s="54"/>
      <c r="BF28" s="54"/>
      <c r="BG28" s="54"/>
      <c r="BI28" s="54"/>
      <c r="BK28" s="54"/>
      <c r="BL28" s="54"/>
      <c r="BM28" s="54"/>
      <c r="BN28" s="54"/>
      <c r="BO28" s="54"/>
      <c r="BP28" s="54"/>
      <c r="BS28" s="54"/>
      <c r="BT28" s="54"/>
      <c r="BU28" s="54"/>
      <c r="BV28" s="54"/>
      <c r="BW28" s="54"/>
    </row>
    <row r="29" spans="1:75" x14ac:dyDescent="0.25">
      <c r="A29" s="83" t="s">
        <v>453</v>
      </c>
      <c r="B29" s="83"/>
      <c r="C29" s="83" t="s">
        <v>6</v>
      </c>
      <c r="D29" s="83" t="s">
        <v>79</v>
      </c>
      <c r="E29" s="54" t="str">
        <f>_xlfn.CONCAT(Table1[[#This Row],[Geographic Scope]],": ",Table1[[#This Row],[Sub-Type/Focus]])</f>
        <v>National: Single-Topic</v>
      </c>
      <c r="F29" s="55">
        <f>Table1[[#This Row],[Total Contributed Income]]+Table1[[#This Row],[Total Earned Income]]</f>
        <v>1203883</v>
      </c>
      <c r="G29" s="84">
        <f>IFERROR((Table1[[#This Row],[Cont. Income - Foundation]]+Table1[[#This Row],[Cont. Income - Membership]]+Table1[[#This Row],[Cont. Income - Small Donors]]+Table1[[#This Row],[Cont. Income - Med. Donors]]+Table1[[#This Row],[Cont. Income - Major Donors]]+Table1[[#This Row],[Cont. Income - Other]]),0)</f>
        <v>1073422</v>
      </c>
      <c r="H29" s="84">
        <f>IFERROR((Table1[[#This Row],[Earned Income - Advertising]]+Table1[[#This Row],[Earned Income - Sponsorships/Underwriting]]+Table1[[#This Row],[Earned Income - Events]]+Table1[[#This Row],[Earned Income - Subscriptions]]+Table1[[#This Row],[Earned Income - Syndication]]+Table1[[#This Row],[Earned Income - Other TOTAL]]),0)</f>
        <v>130461</v>
      </c>
      <c r="I29" s="71">
        <v>587957</v>
      </c>
      <c r="J29" s="71">
        <v>0</v>
      </c>
      <c r="K29" s="71">
        <v>35873</v>
      </c>
      <c r="L29" s="71">
        <v>27784</v>
      </c>
      <c r="M29" s="71">
        <v>421808</v>
      </c>
      <c r="N29" s="71">
        <v>0</v>
      </c>
      <c r="O29" s="76" t="s">
        <v>406</v>
      </c>
      <c r="P29" s="71">
        <v>0</v>
      </c>
      <c r="Q29" s="71">
        <v>0</v>
      </c>
      <c r="R29" s="71">
        <v>12790</v>
      </c>
      <c r="S29" s="71">
        <v>33155</v>
      </c>
      <c r="T29" s="71">
        <v>80037</v>
      </c>
      <c r="U29" s="85">
        <f>IFERROR(Table1[[#This Row],[Earned Income - Training Fees]]+Table1[[#This Row],[Earned Income - Fees]]+Table1[[#This Row],[Earned Income - Investments]]+Table1[[#This Row],[Earned Income - Other]],0)</f>
        <v>4479</v>
      </c>
      <c r="V29" s="71">
        <v>0</v>
      </c>
      <c r="W29" s="71">
        <v>4479</v>
      </c>
      <c r="X29" s="83" t="s">
        <v>454</v>
      </c>
      <c r="Y29" s="71">
        <v>0</v>
      </c>
      <c r="Z29" s="71">
        <v>0</v>
      </c>
      <c r="AA29" s="83" t="s">
        <v>406</v>
      </c>
      <c r="AB29" s="85">
        <f t="shared" si="0"/>
        <v>1115807</v>
      </c>
      <c r="AC29" s="71">
        <v>744673</v>
      </c>
      <c r="AD29" s="85">
        <f>SUM(Table1[[#This Row],[Expenses - Revenue Generation]:[Expenses - Admin]])</f>
        <v>371134</v>
      </c>
      <c r="AE29" s="71">
        <v>46833</v>
      </c>
      <c r="AF29" s="71">
        <v>57766</v>
      </c>
      <c r="AG29" s="71">
        <v>266535</v>
      </c>
      <c r="AH29" s="72">
        <f>Table1[[#This Row],[Total FTE - Editorial]]+Table1[[#This Row],[Total FTE - Non-Editorial]]</f>
        <v>9</v>
      </c>
      <c r="AI29" s="72">
        <f>Table1[[#This Row],[FTE Salaried - Editorial]]+Table1[[#This Row],[FTE Contractors - Editorial]]</f>
        <v>7</v>
      </c>
      <c r="AJ29" s="56">
        <v>5</v>
      </c>
      <c r="AK29" s="56">
        <v>2</v>
      </c>
      <c r="AL29" s="57">
        <f>Table1[[#This Row],[FTE Salaried - Non-Editorial]]+Table1[[#This Row],[FTE Contractors - Non-Editorial]]</f>
        <v>2</v>
      </c>
      <c r="AM29" s="56">
        <v>2</v>
      </c>
      <c r="AN29" s="56">
        <v>0</v>
      </c>
      <c r="AO29" s="83" t="s">
        <v>342</v>
      </c>
      <c r="AP29" s="83" t="s">
        <v>406</v>
      </c>
      <c r="AQ29" s="73">
        <v>15100</v>
      </c>
      <c r="AR29" s="73">
        <v>13594</v>
      </c>
      <c r="AS29" s="73">
        <v>500</v>
      </c>
      <c r="AT29" s="73">
        <v>1</v>
      </c>
      <c r="AU29" s="73">
        <v>0</v>
      </c>
      <c r="AV29" s="83" t="s">
        <v>406</v>
      </c>
      <c r="BC29" s="54"/>
      <c r="BD29" s="54"/>
      <c r="BE29" s="54"/>
      <c r="BF29" s="54"/>
      <c r="BG29" s="54"/>
      <c r="BI29" s="54"/>
      <c r="BK29" s="54"/>
      <c r="BL29" s="54"/>
      <c r="BM29" s="54"/>
      <c r="BN29" s="54"/>
      <c r="BO29" s="54"/>
      <c r="BP29" s="54"/>
      <c r="BS29" s="54"/>
      <c r="BT29" s="54"/>
      <c r="BU29" s="54"/>
      <c r="BV29" s="54"/>
      <c r="BW29" s="54"/>
    </row>
    <row r="30" spans="1:75" x14ac:dyDescent="0.25">
      <c r="A30" s="83" t="s">
        <v>455</v>
      </c>
      <c r="B30" s="83"/>
      <c r="C30" s="83" t="s">
        <v>6</v>
      </c>
      <c r="D30" s="83" t="s">
        <v>77</v>
      </c>
      <c r="E30" s="54" t="str">
        <f>_xlfn.CONCAT(Table1[[#This Row],[Geographic Scope]],": ",Table1[[#This Row],[Sub-Type/Focus]])</f>
        <v>National: General</v>
      </c>
      <c r="F30" s="55">
        <f>Table1[[#This Row],[Total Contributed Income]]+Table1[[#This Row],[Total Earned Income]]</f>
        <v>2626000</v>
      </c>
      <c r="G30" s="84">
        <f>IFERROR((Table1[[#This Row],[Cont. Income - Foundation]]+Table1[[#This Row],[Cont. Income - Membership]]+Table1[[#This Row],[Cont. Income - Small Donors]]+Table1[[#This Row],[Cont. Income - Med. Donors]]+Table1[[#This Row],[Cont. Income - Major Donors]]+Table1[[#This Row],[Cont. Income - Other]]),0)</f>
        <v>2371500</v>
      </c>
      <c r="H30" s="84">
        <f>IFERROR((Table1[[#This Row],[Earned Income - Advertising]]+Table1[[#This Row],[Earned Income - Sponsorships/Underwriting]]+Table1[[#This Row],[Earned Income - Events]]+Table1[[#This Row],[Earned Income - Subscriptions]]+Table1[[#This Row],[Earned Income - Syndication]]+Table1[[#This Row],[Earned Income - Other TOTAL]]),0)</f>
        <v>254500</v>
      </c>
      <c r="I30" s="71">
        <v>2300000</v>
      </c>
      <c r="J30" s="71">
        <v>0</v>
      </c>
      <c r="K30" s="71">
        <v>6500</v>
      </c>
      <c r="L30" s="71">
        <v>55000</v>
      </c>
      <c r="M30" s="71">
        <v>10000</v>
      </c>
      <c r="N30" s="71">
        <v>0</v>
      </c>
      <c r="O30" s="76" t="s">
        <v>406</v>
      </c>
      <c r="P30" s="71">
        <v>4500</v>
      </c>
      <c r="Q30" s="71">
        <v>0</v>
      </c>
      <c r="R30" s="71">
        <v>0</v>
      </c>
      <c r="S30" s="71">
        <v>0</v>
      </c>
      <c r="T30" s="71">
        <v>250000</v>
      </c>
      <c r="U30" s="85">
        <f>IFERROR(Table1[[#This Row],[Earned Income - Training Fees]]+Table1[[#This Row],[Earned Income - Fees]]+Table1[[#This Row],[Earned Income - Investments]]+Table1[[#This Row],[Earned Income - Other]],0)</f>
        <v>0</v>
      </c>
      <c r="V30" s="71">
        <v>0</v>
      </c>
      <c r="W30" s="71">
        <v>0</v>
      </c>
      <c r="X30" s="83" t="s">
        <v>406</v>
      </c>
      <c r="Y30" s="71">
        <v>0</v>
      </c>
      <c r="Z30" s="71">
        <v>0</v>
      </c>
      <c r="AA30" s="83" t="s">
        <v>406</v>
      </c>
      <c r="AB30" s="85">
        <f t="shared" si="0"/>
        <v>2458000</v>
      </c>
      <c r="AC30" s="71">
        <v>1800000</v>
      </c>
      <c r="AD30" s="85">
        <f>SUM(Table1[[#This Row],[Expenses - Revenue Generation]:[Expenses - Admin]])</f>
        <v>658000</v>
      </c>
      <c r="AE30" s="71">
        <v>200000</v>
      </c>
      <c r="AF30" s="71">
        <v>58000</v>
      </c>
      <c r="AG30" s="71">
        <v>400000</v>
      </c>
      <c r="AH30" s="72">
        <f>Table1[[#This Row],[Total FTE - Editorial]]+Table1[[#This Row],[Total FTE - Non-Editorial]]</f>
        <v>23</v>
      </c>
      <c r="AI30" s="72">
        <f>Table1[[#This Row],[FTE Salaried - Editorial]]+Table1[[#This Row],[FTE Contractors - Editorial]]</f>
        <v>16</v>
      </c>
      <c r="AJ30" s="56">
        <v>13</v>
      </c>
      <c r="AK30" s="56">
        <v>3</v>
      </c>
      <c r="AL30" s="57">
        <f>Table1[[#This Row],[FTE Salaried - Non-Editorial]]+Table1[[#This Row],[FTE Contractors - Non-Editorial]]</f>
        <v>7</v>
      </c>
      <c r="AM30" s="56">
        <v>5</v>
      </c>
      <c r="AN30" s="56">
        <v>2</v>
      </c>
      <c r="AO30" s="83" t="s">
        <v>373</v>
      </c>
      <c r="AP30" s="83" t="s">
        <v>406</v>
      </c>
      <c r="AQ30" s="73">
        <v>0</v>
      </c>
      <c r="AR30" s="73">
        <v>0</v>
      </c>
      <c r="AS30" s="73">
        <v>0</v>
      </c>
      <c r="AT30" s="73">
        <v>0</v>
      </c>
      <c r="AU30" s="73">
        <v>0</v>
      </c>
      <c r="AV30" s="83" t="s">
        <v>406</v>
      </c>
      <c r="BC30" s="54"/>
      <c r="BD30" s="54"/>
      <c r="BE30" s="54"/>
      <c r="BF30" s="54"/>
      <c r="BG30" s="54"/>
      <c r="BI30" s="54"/>
      <c r="BK30" s="54"/>
      <c r="BL30" s="54"/>
      <c r="BM30" s="54"/>
      <c r="BN30" s="54"/>
      <c r="BO30" s="54"/>
      <c r="BP30" s="54"/>
      <c r="BS30" s="54"/>
      <c r="BT30" s="54"/>
      <c r="BU30" s="54"/>
      <c r="BV30" s="54"/>
      <c r="BW30" s="54"/>
    </row>
    <row r="31" spans="1:75" x14ac:dyDescent="0.25">
      <c r="A31" s="83" t="s">
        <v>456</v>
      </c>
      <c r="B31" s="83"/>
      <c r="C31" s="83" t="s">
        <v>83</v>
      </c>
      <c r="D31" s="83" t="s">
        <v>77</v>
      </c>
      <c r="E31" s="54" t="str">
        <f>_xlfn.CONCAT(Table1[[#This Row],[Geographic Scope]],": ",Table1[[#This Row],[Sub-Type/Focus]])</f>
        <v>State: General</v>
      </c>
      <c r="F31" s="55">
        <f>Table1[[#This Row],[Total Contributed Income]]+Table1[[#This Row],[Total Earned Income]]</f>
        <v>138800</v>
      </c>
      <c r="G31" s="84">
        <f>IFERROR((Table1[[#This Row],[Cont. Income - Foundation]]+Table1[[#This Row],[Cont. Income - Membership]]+Table1[[#This Row],[Cont. Income - Small Donors]]+Table1[[#This Row],[Cont. Income - Med. Donors]]+Table1[[#This Row],[Cont. Income - Major Donors]]+Table1[[#This Row],[Cont. Income - Other]]),0)</f>
        <v>138800</v>
      </c>
      <c r="H31" s="84">
        <f>IFERROR((Table1[[#This Row],[Earned Income - Advertising]]+Table1[[#This Row],[Earned Income - Sponsorships/Underwriting]]+Table1[[#This Row],[Earned Income - Events]]+Table1[[#This Row],[Earned Income - Subscriptions]]+Table1[[#This Row],[Earned Income - Syndication]]+Table1[[#This Row],[Earned Income - Other TOTAL]]),0)</f>
        <v>0</v>
      </c>
      <c r="I31" s="71">
        <v>106800</v>
      </c>
      <c r="J31" s="71">
        <v>0</v>
      </c>
      <c r="K31" s="71">
        <v>30000</v>
      </c>
      <c r="L31" s="71">
        <v>2000</v>
      </c>
      <c r="M31" s="71">
        <v>0</v>
      </c>
      <c r="N31" s="71">
        <v>0</v>
      </c>
      <c r="O31" s="76" t="s">
        <v>406</v>
      </c>
      <c r="P31" s="71">
        <v>0</v>
      </c>
      <c r="Q31" s="71">
        <v>0</v>
      </c>
      <c r="R31" s="71">
        <v>0</v>
      </c>
      <c r="S31" s="71">
        <v>0</v>
      </c>
      <c r="T31" s="71">
        <v>0</v>
      </c>
      <c r="U31" s="85">
        <f>IFERROR(Table1[[#This Row],[Earned Income - Training Fees]]+Table1[[#This Row],[Earned Income - Fees]]+Table1[[#This Row],[Earned Income - Investments]]+Table1[[#This Row],[Earned Income - Other]],0)</f>
        <v>0</v>
      </c>
      <c r="V31" s="71">
        <v>0</v>
      </c>
      <c r="W31" s="71">
        <v>0</v>
      </c>
      <c r="X31" s="83" t="s">
        <v>406</v>
      </c>
      <c r="Y31" s="71">
        <v>0</v>
      </c>
      <c r="Z31" s="71">
        <v>0</v>
      </c>
      <c r="AA31" s="83" t="s">
        <v>406</v>
      </c>
      <c r="AB31" s="85">
        <f t="shared" si="0"/>
        <v>55000</v>
      </c>
      <c r="AC31" s="71">
        <v>10000</v>
      </c>
      <c r="AD31" s="85">
        <f>SUM(Table1[[#This Row],[Expenses - Revenue Generation]:[Expenses - Admin]])</f>
        <v>45000</v>
      </c>
      <c r="AE31" s="71">
        <v>20000</v>
      </c>
      <c r="AF31" s="71">
        <v>10000</v>
      </c>
      <c r="AG31" s="71">
        <v>15000</v>
      </c>
      <c r="AH31" s="72">
        <f>Table1[[#This Row],[Total FTE - Editorial]]+Table1[[#This Row],[Total FTE - Non-Editorial]]</f>
        <v>0</v>
      </c>
      <c r="AI31" s="72">
        <f>Table1[[#This Row],[FTE Salaried - Editorial]]+Table1[[#This Row],[FTE Contractors - Editorial]]</f>
        <v>0</v>
      </c>
      <c r="AJ31" s="56">
        <v>0</v>
      </c>
      <c r="AK31" s="56">
        <v>0</v>
      </c>
      <c r="AL31" s="57">
        <f>Table1[[#This Row],[FTE Salaried - Non-Editorial]]+Table1[[#This Row],[FTE Contractors - Non-Editorial]]</f>
        <v>0</v>
      </c>
      <c r="AM31" s="56">
        <v>0</v>
      </c>
      <c r="AN31" s="56">
        <v>0</v>
      </c>
      <c r="AO31" s="83" t="s">
        <v>343</v>
      </c>
      <c r="AP31" s="83" t="s">
        <v>457</v>
      </c>
      <c r="AQ31" s="73">
        <v>0</v>
      </c>
      <c r="AR31" s="73">
        <v>0</v>
      </c>
      <c r="AS31" s="73">
        <v>0</v>
      </c>
      <c r="AT31" s="73">
        <v>0</v>
      </c>
      <c r="AU31" s="73">
        <v>0</v>
      </c>
      <c r="AV31" s="83" t="s">
        <v>406</v>
      </c>
      <c r="BC31" s="54"/>
      <c r="BD31" s="54"/>
      <c r="BE31" s="54"/>
      <c r="BF31" s="54"/>
      <c r="BG31" s="54"/>
      <c r="BI31" s="54"/>
      <c r="BK31" s="54"/>
      <c r="BL31" s="54"/>
      <c r="BM31" s="54"/>
      <c r="BN31" s="54"/>
      <c r="BO31" s="54"/>
      <c r="BP31" s="54"/>
      <c r="BS31" s="54"/>
      <c r="BT31" s="54"/>
      <c r="BU31" s="54"/>
      <c r="BV31" s="54"/>
      <c r="BW31" s="54"/>
    </row>
    <row r="32" spans="1:75" x14ac:dyDescent="0.25">
      <c r="A32" s="83" t="s">
        <v>458</v>
      </c>
      <c r="B32" s="83"/>
      <c r="C32" s="83" t="s">
        <v>7</v>
      </c>
      <c r="D32" s="83" t="s">
        <v>79</v>
      </c>
      <c r="E32" s="54" t="str">
        <f>_xlfn.CONCAT(Table1[[#This Row],[Geographic Scope]],": ",Table1[[#This Row],[Sub-Type/Focus]])</f>
        <v>Local: Single-Topic</v>
      </c>
      <c r="F32" s="55">
        <f>Table1[[#This Row],[Total Contributed Income]]+Table1[[#This Row],[Total Earned Income]]</f>
        <v>9470</v>
      </c>
      <c r="G32" s="84">
        <f>IFERROR((Table1[[#This Row],[Cont. Income - Foundation]]+Table1[[#This Row],[Cont. Income - Membership]]+Table1[[#This Row],[Cont. Income - Small Donors]]+Table1[[#This Row],[Cont. Income - Med. Donors]]+Table1[[#This Row],[Cont. Income - Major Donors]]+Table1[[#This Row],[Cont. Income - Other]]),0)</f>
        <v>9450</v>
      </c>
      <c r="H32" s="84">
        <f>IFERROR((Table1[[#This Row],[Earned Income - Advertising]]+Table1[[#This Row],[Earned Income - Sponsorships/Underwriting]]+Table1[[#This Row],[Earned Income - Events]]+Table1[[#This Row],[Earned Income - Subscriptions]]+Table1[[#This Row],[Earned Income - Syndication]]+Table1[[#This Row],[Earned Income - Other TOTAL]]),0)</f>
        <v>20</v>
      </c>
      <c r="I32" s="71">
        <v>2000</v>
      </c>
      <c r="J32" s="71">
        <v>1331</v>
      </c>
      <c r="K32" s="71">
        <v>6119</v>
      </c>
      <c r="L32" s="71">
        <v>0</v>
      </c>
      <c r="M32" s="71">
        <v>0</v>
      </c>
      <c r="N32" s="71">
        <v>0</v>
      </c>
      <c r="O32" s="76" t="s">
        <v>406</v>
      </c>
      <c r="P32" s="71">
        <v>0</v>
      </c>
      <c r="Q32" s="71">
        <v>0</v>
      </c>
      <c r="R32" s="71">
        <v>0</v>
      </c>
      <c r="S32" s="71">
        <v>0</v>
      </c>
      <c r="T32" s="71">
        <v>0</v>
      </c>
      <c r="U32" s="85">
        <f>IFERROR(Table1[[#This Row],[Earned Income - Training Fees]]+Table1[[#This Row],[Earned Income - Fees]]+Table1[[#This Row],[Earned Income - Investments]]+Table1[[#This Row],[Earned Income - Other]],0)</f>
        <v>20</v>
      </c>
      <c r="V32" s="71">
        <v>0</v>
      </c>
      <c r="W32" s="71">
        <v>0</v>
      </c>
      <c r="X32" s="83" t="s">
        <v>406</v>
      </c>
      <c r="Y32" s="71">
        <v>0</v>
      </c>
      <c r="Z32" s="71">
        <v>20</v>
      </c>
      <c r="AA32" s="83" t="s">
        <v>459</v>
      </c>
      <c r="AB32" s="85">
        <f t="shared" si="0"/>
        <v>135</v>
      </c>
      <c r="AC32" s="71">
        <v>0</v>
      </c>
      <c r="AD32" s="85">
        <f>SUM(Table1[[#This Row],[Expenses - Revenue Generation]:[Expenses - Admin]])</f>
        <v>135</v>
      </c>
      <c r="AE32" s="71">
        <v>0</v>
      </c>
      <c r="AF32" s="71">
        <v>0</v>
      </c>
      <c r="AG32" s="71">
        <v>135</v>
      </c>
      <c r="AH32" s="72">
        <f>Table1[[#This Row],[Total FTE - Editorial]]+Table1[[#This Row],[Total FTE - Non-Editorial]]</f>
        <v>0</v>
      </c>
      <c r="AI32" s="72">
        <f>Table1[[#This Row],[FTE Salaried - Editorial]]+Table1[[#This Row],[FTE Contractors - Editorial]]</f>
        <v>0</v>
      </c>
      <c r="AJ32" s="56">
        <v>0</v>
      </c>
      <c r="AK32" s="56">
        <v>0</v>
      </c>
      <c r="AL32" s="57">
        <f>Table1[[#This Row],[FTE Salaried - Non-Editorial]]+Table1[[#This Row],[FTE Contractors - Non-Editorial]]</f>
        <v>0</v>
      </c>
      <c r="AM32" s="56">
        <v>0</v>
      </c>
      <c r="AN32" s="56">
        <v>0</v>
      </c>
      <c r="AO32" s="83" t="s">
        <v>342</v>
      </c>
      <c r="AP32" s="83" t="s">
        <v>406</v>
      </c>
      <c r="AQ32" s="73">
        <v>520</v>
      </c>
      <c r="AR32" s="73">
        <v>704</v>
      </c>
      <c r="AS32" s="73">
        <v>0</v>
      </c>
      <c r="AT32" s="73">
        <v>0</v>
      </c>
      <c r="AU32" s="73">
        <v>0</v>
      </c>
      <c r="AV32" s="83" t="s">
        <v>406</v>
      </c>
      <c r="BC32" s="54"/>
      <c r="BD32" s="54"/>
      <c r="BE32" s="54"/>
      <c r="BF32" s="54"/>
      <c r="BG32" s="54"/>
      <c r="BI32" s="54"/>
      <c r="BK32" s="54"/>
      <c r="BL32" s="54"/>
      <c r="BM32" s="54"/>
      <c r="BN32" s="54"/>
      <c r="BO32" s="54"/>
      <c r="BP32" s="54"/>
      <c r="BS32" s="54"/>
      <c r="BT32" s="54"/>
      <c r="BU32" s="54"/>
      <c r="BV32" s="54"/>
      <c r="BW32" s="54"/>
    </row>
    <row r="33" spans="1:75" x14ac:dyDescent="0.25">
      <c r="A33" s="83" t="s">
        <v>460</v>
      </c>
      <c r="B33" s="83"/>
      <c r="C33" s="83" t="s">
        <v>7</v>
      </c>
      <c r="D33" s="83" t="s">
        <v>78</v>
      </c>
      <c r="E33" s="54" t="str">
        <f>_xlfn.CONCAT(Table1[[#This Row],[Geographic Scope]],": ",Table1[[#This Row],[Sub-Type/Focus]])</f>
        <v>Local: Multiple Related Topics</v>
      </c>
      <c r="F33" s="55">
        <f>Table1[[#This Row],[Total Contributed Income]]+Table1[[#This Row],[Total Earned Income]]</f>
        <v>120279</v>
      </c>
      <c r="G33" s="84">
        <f>IFERROR((Table1[[#This Row],[Cont. Income - Foundation]]+Table1[[#This Row],[Cont. Income - Membership]]+Table1[[#This Row],[Cont. Income - Small Donors]]+Table1[[#This Row],[Cont. Income - Med. Donors]]+Table1[[#This Row],[Cont. Income - Major Donors]]+Table1[[#This Row],[Cont. Income - Other]]),0)</f>
        <v>87444</v>
      </c>
      <c r="H33" s="84">
        <f>IFERROR((Table1[[#This Row],[Earned Income - Advertising]]+Table1[[#This Row],[Earned Income - Sponsorships/Underwriting]]+Table1[[#This Row],[Earned Income - Events]]+Table1[[#This Row],[Earned Income - Subscriptions]]+Table1[[#This Row],[Earned Income - Syndication]]+Table1[[#This Row],[Earned Income - Other TOTAL]]),0)</f>
        <v>32835</v>
      </c>
      <c r="I33" s="71">
        <v>32096</v>
      </c>
      <c r="J33" s="71">
        <v>18520</v>
      </c>
      <c r="K33" s="71">
        <v>36828</v>
      </c>
      <c r="L33" s="71">
        <v>0</v>
      </c>
      <c r="M33" s="71">
        <v>0</v>
      </c>
      <c r="N33" s="71">
        <v>0</v>
      </c>
      <c r="O33" s="76" t="s">
        <v>406</v>
      </c>
      <c r="P33" s="71">
        <v>0</v>
      </c>
      <c r="Q33" s="71">
        <v>0</v>
      </c>
      <c r="R33" s="71">
        <v>17027</v>
      </c>
      <c r="S33" s="71">
        <v>0</v>
      </c>
      <c r="T33" s="71">
        <v>0</v>
      </c>
      <c r="U33" s="85">
        <f>IFERROR(Table1[[#This Row],[Earned Income - Training Fees]]+Table1[[#This Row],[Earned Income - Fees]]+Table1[[#This Row],[Earned Income - Investments]]+Table1[[#This Row],[Earned Income - Other]],0)</f>
        <v>15808</v>
      </c>
      <c r="V33" s="71">
        <v>0</v>
      </c>
      <c r="W33" s="71">
        <v>13011</v>
      </c>
      <c r="X33" s="83" t="s">
        <v>461</v>
      </c>
      <c r="Y33" s="71">
        <v>0</v>
      </c>
      <c r="Z33" s="71">
        <v>2797</v>
      </c>
      <c r="AA33" s="83" t="s">
        <v>341</v>
      </c>
      <c r="AB33" s="85">
        <f t="shared" si="0"/>
        <v>112287</v>
      </c>
      <c r="AC33" s="71">
        <v>65000</v>
      </c>
      <c r="AD33" s="85">
        <f>SUM(Table1[[#This Row],[Expenses - Revenue Generation]:[Expenses - Admin]])</f>
        <v>47287</v>
      </c>
      <c r="AE33" s="71">
        <v>27000</v>
      </c>
      <c r="AF33" s="71">
        <v>4000</v>
      </c>
      <c r="AG33" s="71">
        <v>16287</v>
      </c>
      <c r="AH33" s="72">
        <f>Table1[[#This Row],[Total FTE - Editorial]]+Table1[[#This Row],[Total FTE - Non-Editorial]]</f>
        <v>3</v>
      </c>
      <c r="AI33" s="72">
        <f>Table1[[#This Row],[FTE Salaried - Editorial]]+Table1[[#This Row],[FTE Contractors - Editorial]]</f>
        <v>2</v>
      </c>
      <c r="AJ33" s="56">
        <v>1</v>
      </c>
      <c r="AK33" s="56">
        <v>1</v>
      </c>
      <c r="AL33" s="57">
        <f>Table1[[#This Row],[FTE Salaried - Non-Editorial]]+Table1[[#This Row],[FTE Contractors - Non-Editorial]]</f>
        <v>1</v>
      </c>
      <c r="AM33" s="56">
        <v>1</v>
      </c>
      <c r="AN33" s="56">
        <v>0</v>
      </c>
      <c r="AO33" s="83" t="s">
        <v>342</v>
      </c>
      <c r="AP33" s="83" t="s">
        <v>406</v>
      </c>
      <c r="AQ33" s="73">
        <v>38500</v>
      </c>
      <c r="AR33" s="73">
        <v>10128</v>
      </c>
      <c r="AS33" s="73">
        <v>0</v>
      </c>
      <c r="AT33" s="73">
        <v>0</v>
      </c>
      <c r="AU33" s="73">
        <v>0</v>
      </c>
      <c r="AV33" s="83" t="s">
        <v>406</v>
      </c>
      <c r="BC33" s="54"/>
      <c r="BD33" s="54"/>
      <c r="BE33" s="54"/>
      <c r="BF33" s="54"/>
      <c r="BG33" s="54"/>
      <c r="BI33" s="54"/>
      <c r="BK33" s="54"/>
      <c r="BL33" s="54"/>
      <c r="BM33" s="54"/>
      <c r="BN33" s="54"/>
      <c r="BO33" s="54"/>
      <c r="BP33" s="54"/>
      <c r="BS33" s="54"/>
      <c r="BT33" s="54"/>
      <c r="BU33" s="54"/>
      <c r="BV33" s="54"/>
      <c r="BW33" s="54"/>
    </row>
    <row r="34" spans="1:75" x14ac:dyDescent="0.25">
      <c r="A34" s="83" t="s">
        <v>462</v>
      </c>
      <c r="B34" s="83"/>
      <c r="C34" s="83" t="s">
        <v>378</v>
      </c>
      <c r="D34" s="83" t="s">
        <v>77</v>
      </c>
      <c r="E34" s="54" t="str">
        <f>_xlfn.CONCAT(Table1[[#This Row],[Geographic Scope]],": ",Table1[[#This Row],[Sub-Type/Focus]])</f>
        <v>Regional: General</v>
      </c>
      <c r="F34" s="55">
        <f>Table1[[#This Row],[Total Contributed Income]]+Table1[[#This Row],[Total Earned Income]]</f>
        <v>3375486</v>
      </c>
      <c r="G34" s="84">
        <f>IFERROR((Table1[[#This Row],[Cont. Income - Foundation]]+Table1[[#This Row],[Cont. Income - Membership]]+Table1[[#This Row],[Cont. Income - Small Donors]]+Table1[[#This Row],[Cont. Income - Med. Donors]]+Table1[[#This Row],[Cont. Income - Major Donors]]+Table1[[#This Row],[Cont. Income - Other]]),0)</f>
        <v>2221140</v>
      </c>
      <c r="H34" s="84">
        <f>IFERROR((Table1[[#This Row],[Earned Income - Advertising]]+Table1[[#This Row],[Earned Income - Sponsorships/Underwriting]]+Table1[[#This Row],[Earned Income - Events]]+Table1[[#This Row],[Earned Income - Subscriptions]]+Table1[[#This Row],[Earned Income - Syndication]]+Table1[[#This Row],[Earned Income - Other TOTAL]]),0)</f>
        <v>1154346</v>
      </c>
      <c r="I34" s="71">
        <v>423925</v>
      </c>
      <c r="J34" s="71">
        <v>0</v>
      </c>
      <c r="K34" s="71">
        <v>749385</v>
      </c>
      <c r="L34" s="71">
        <v>214549</v>
      </c>
      <c r="M34" s="71">
        <v>821400</v>
      </c>
      <c r="N34" s="71">
        <v>11881</v>
      </c>
      <c r="O34" s="76" t="s">
        <v>463</v>
      </c>
      <c r="P34" s="71">
        <v>150245</v>
      </c>
      <c r="Q34" s="71">
        <v>22997</v>
      </c>
      <c r="R34" s="71">
        <v>0</v>
      </c>
      <c r="S34" s="71">
        <v>921644</v>
      </c>
      <c r="T34" s="71">
        <v>11854</v>
      </c>
      <c r="U34" s="85">
        <f>IFERROR(Table1[[#This Row],[Earned Income - Training Fees]]+Table1[[#This Row],[Earned Income - Fees]]+Table1[[#This Row],[Earned Income - Investments]]+Table1[[#This Row],[Earned Income - Other]],0)</f>
        <v>47606</v>
      </c>
      <c r="V34" s="71">
        <v>0</v>
      </c>
      <c r="W34" s="71">
        <v>0</v>
      </c>
      <c r="X34" s="83" t="s">
        <v>406</v>
      </c>
      <c r="Y34" s="71">
        <v>37772</v>
      </c>
      <c r="Z34" s="71">
        <v>9834</v>
      </c>
      <c r="AA34" s="83" t="s">
        <v>464</v>
      </c>
      <c r="AB34" s="85">
        <f t="shared" ref="AB34:AB65" si="1">SUM(AC34:AD34)</f>
        <v>3636949</v>
      </c>
      <c r="AC34" s="71">
        <v>1539425</v>
      </c>
      <c r="AD34" s="85">
        <f>SUM(Table1[[#This Row],[Expenses - Revenue Generation]:[Expenses - Admin]])</f>
        <v>2097524</v>
      </c>
      <c r="AE34" s="71">
        <v>960094</v>
      </c>
      <c r="AF34" s="71">
        <v>207429</v>
      </c>
      <c r="AG34" s="71">
        <v>930001</v>
      </c>
      <c r="AH34" s="72">
        <f>Table1[[#This Row],[Total FTE - Editorial]]+Table1[[#This Row],[Total FTE - Non-Editorial]]</f>
        <v>29.5</v>
      </c>
      <c r="AI34" s="72">
        <f>Table1[[#This Row],[FTE Salaried - Editorial]]+Table1[[#This Row],[FTE Contractors - Editorial]]</f>
        <v>16</v>
      </c>
      <c r="AJ34" s="56">
        <v>12</v>
      </c>
      <c r="AK34" s="56">
        <v>4</v>
      </c>
      <c r="AL34" s="57">
        <f>Table1[[#This Row],[FTE Salaried - Non-Editorial]]+Table1[[#This Row],[FTE Contractors - Non-Editorial]]</f>
        <v>13.5</v>
      </c>
      <c r="AM34" s="56">
        <v>11.5</v>
      </c>
      <c r="AN34" s="56">
        <v>2</v>
      </c>
      <c r="AO34" s="83" t="s">
        <v>394</v>
      </c>
      <c r="AP34" s="83" t="s">
        <v>406</v>
      </c>
      <c r="AQ34" s="73">
        <v>3001330</v>
      </c>
      <c r="AR34" s="73">
        <v>164902</v>
      </c>
      <c r="AS34" s="73">
        <v>35192</v>
      </c>
      <c r="AT34" s="73">
        <v>16</v>
      </c>
      <c r="AU34" s="73">
        <v>0</v>
      </c>
      <c r="AV34" s="83" t="s">
        <v>406</v>
      </c>
      <c r="BC34" s="54"/>
      <c r="BD34" s="54"/>
      <c r="BE34" s="54"/>
      <c r="BF34" s="54"/>
      <c r="BG34" s="54"/>
      <c r="BI34" s="54"/>
      <c r="BK34" s="54"/>
      <c r="BL34" s="54"/>
      <c r="BM34" s="54"/>
      <c r="BN34" s="54"/>
      <c r="BO34" s="54"/>
      <c r="BP34" s="54"/>
      <c r="BS34" s="54"/>
      <c r="BT34" s="54"/>
      <c r="BU34" s="54"/>
      <c r="BV34" s="54"/>
      <c r="BW34" s="54"/>
    </row>
    <row r="35" spans="1:75" x14ac:dyDescent="0.25">
      <c r="A35" s="83" t="s">
        <v>465</v>
      </c>
      <c r="B35" s="83"/>
      <c r="C35" s="83" t="s">
        <v>7</v>
      </c>
      <c r="D35" s="83" t="s">
        <v>77</v>
      </c>
      <c r="E35" s="54" t="str">
        <f>_xlfn.CONCAT(Table1[[#This Row],[Geographic Scope]],": ",Table1[[#This Row],[Sub-Type/Focus]])</f>
        <v>Local: General</v>
      </c>
      <c r="F35" s="55">
        <f>Table1[[#This Row],[Total Contributed Income]]+Table1[[#This Row],[Total Earned Income]]</f>
        <v>597000</v>
      </c>
      <c r="G35" s="84">
        <f>IFERROR((Table1[[#This Row],[Cont. Income - Foundation]]+Table1[[#This Row],[Cont. Income - Membership]]+Table1[[#This Row],[Cont. Income - Small Donors]]+Table1[[#This Row],[Cont. Income - Med. Donors]]+Table1[[#This Row],[Cont. Income - Major Donors]]+Table1[[#This Row],[Cont. Income - Other]]),0)</f>
        <v>453000</v>
      </c>
      <c r="H35" s="84">
        <f>IFERROR((Table1[[#This Row],[Earned Income - Advertising]]+Table1[[#This Row],[Earned Income - Sponsorships/Underwriting]]+Table1[[#This Row],[Earned Income - Events]]+Table1[[#This Row],[Earned Income - Subscriptions]]+Table1[[#This Row],[Earned Income - Syndication]]+Table1[[#This Row],[Earned Income - Other TOTAL]]),0)</f>
        <v>144000</v>
      </c>
      <c r="I35" s="71">
        <v>50000</v>
      </c>
      <c r="J35" s="71">
        <v>0</v>
      </c>
      <c r="K35" s="71">
        <v>32000</v>
      </c>
      <c r="L35" s="71">
        <v>35000</v>
      </c>
      <c r="M35" s="71">
        <v>336000</v>
      </c>
      <c r="N35" s="71">
        <v>0</v>
      </c>
      <c r="O35" s="76" t="s">
        <v>406</v>
      </c>
      <c r="P35" s="71">
        <v>133000</v>
      </c>
      <c r="Q35" s="71">
        <v>0</v>
      </c>
      <c r="R35" s="71">
        <v>0</v>
      </c>
      <c r="S35" s="71">
        <v>3000</v>
      </c>
      <c r="T35" s="71">
        <v>0</v>
      </c>
      <c r="U35" s="85">
        <f>IFERROR(Table1[[#This Row],[Earned Income - Training Fees]]+Table1[[#This Row],[Earned Income - Fees]]+Table1[[#This Row],[Earned Income - Investments]]+Table1[[#This Row],[Earned Income - Other]],0)</f>
        <v>8000</v>
      </c>
      <c r="V35" s="71">
        <v>0</v>
      </c>
      <c r="W35" s="71">
        <v>0</v>
      </c>
      <c r="X35" s="83" t="s">
        <v>406</v>
      </c>
      <c r="Y35" s="71">
        <v>8000</v>
      </c>
      <c r="Z35" s="71">
        <v>0</v>
      </c>
      <c r="AA35" s="83" t="s">
        <v>406</v>
      </c>
      <c r="AB35" s="85">
        <f t="shared" si="1"/>
        <v>492000</v>
      </c>
      <c r="AC35" s="71">
        <v>368000</v>
      </c>
      <c r="AD35" s="85">
        <f>SUM(Table1[[#This Row],[Expenses - Revenue Generation]:[Expenses - Admin]])</f>
        <v>124000</v>
      </c>
      <c r="AE35" s="71">
        <v>18000</v>
      </c>
      <c r="AF35" s="71">
        <v>3000</v>
      </c>
      <c r="AG35" s="71">
        <v>103000</v>
      </c>
      <c r="AH35" s="72">
        <f>Table1[[#This Row],[Total FTE - Editorial]]+Table1[[#This Row],[Total FTE - Non-Editorial]]</f>
        <v>6.5</v>
      </c>
      <c r="AI35" s="72">
        <f>Table1[[#This Row],[FTE Salaried - Editorial]]+Table1[[#This Row],[FTE Contractors - Editorial]]</f>
        <v>5.5</v>
      </c>
      <c r="AJ35" s="56">
        <v>3</v>
      </c>
      <c r="AK35" s="56">
        <v>2.5</v>
      </c>
      <c r="AL35" s="57">
        <f>Table1[[#This Row],[FTE Salaried - Non-Editorial]]+Table1[[#This Row],[FTE Contractors - Non-Editorial]]</f>
        <v>1</v>
      </c>
      <c r="AM35" s="56">
        <v>0.75</v>
      </c>
      <c r="AN35" s="56">
        <v>0.25</v>
      </c>
      <c r="AO35" s="83" t="s">
        <v>394</v>
      </c>
      <c r="AP35" s="83" t="s">
        <v>406</v>
      </c>
      <c r="AQ35" s="73">
        <v>35000</v>
      </c>
      <c r="AR35" s="73">
        <v>1000</v>
      </c>
      <c r="AS35" s="73">
        <v>4000</v>
      </c>
      <c r="AT35" s="73">
        <v>52</v>
      </c>
      <c r="AU35" s="73">
        <v>0</v>
      </c>
      <c r="AV35" s="83" t="s">
        <v>406</v>
      </c>
      <c r="BC35" s="54"/>
      <c r="BD35" s="54"/>
      <c r="BE35" s="54"/>
      <c r="BF35" s="54"/>
      <c r="BG35" s="54"/>
      <c r="BI35" s="54"/>
      <c r="BK35" s="54"/>
      <c r="BL35" s="54"/>
      <c r="BM35" s="54"/>
      <c r="BN35" s="54"/>
      <c r="BO35" s="54"/>
      <c r="BP35" s="54"/>
      <c r="BS35" s="54"/>
      <c r="BT35" s="54"/>
      <c r="BU35" s="54"/>
      <c r="BV35" s="54"/>
      <c r="BW35" s="54"/>
    </row>
    <row r="36" spans="1:75" x14ac:dyDescent="0.25">
      <c r="A36" s="83" t="s">
        <v>466</v>
      </c>
      <c r="B36" s="83"/>
      <c r="C36" s="83" t="s">
        <v>6</v>
      </c>
      <c r="D36" s="83" t="s">
        <v>78</v>
      </c>
      <c r="E36" s="54" t="str">
        <f>_xlfn.CONCAT(Table1[[#This Row],[Geographic Scope]],": ",Table1[[#This Row],[Sub-Type/Focus]])</f>
        <v>National: Multiple Related Topics</v>
      </c>
      <c r="F36" s="55">
        <f>Table1[[#This Row],[Total Contributed Income]]+Table1[[#This Row],[Total Earned Income]]</f>
        <v>1757000</v>
      </c>
      <c r="G36" s="84">
        <f>IFERROR((Table1[[#This Row],[Cont. Income - Foundation]]+Table1[[#This Row],[Cont. Income - Membership]]+Table1[[#This Row],[Cont. Income - Small Donors]]+Table1[[#This Row],[Cont. Income - Med. Donors]]+Table1[[#This Row],[Cont. Income - Major Donors]]+Table1[[#This Row],[Cont. Income - Other]]),0)</f>
        <v>1447000</v>
      </c>
      <c r="H36" s="84">
        <f>IFERROR((Table1[[#This Row],[Earned Income - Advertising]]+Table1[[#This Row],[Earned Income - Sponsorships/Underwriting]]+Table1[[#This Row],[Earned Income - Events]]+Table1[[#This Row],[Earned Income - Subscriptions]]+Table1[[#This Row],[Earned Income - Syndication]]+Table1[[#This Row],[Earned Income - Other TOTAL]]),0)</f>
        <v>310000</v>
      </c>
      <c r="I36" s="71">
        <v>470000</v>
      </c>
      <c r="J36" s="71">
        <v>0</v>
      </c>
      <c r="K36" s="71">
        <v>350000</v>
      </c>
      <c r="L36" s="71">
        <v>367000</v>
      </c>
      <c r="M36" s="71">
        <v>260000</v>
      </c>
      <c r="N36" s="71">
        <v>0</v>
      </c>
      <c r="O36" s="76" t="s">
        <v>406</v>
      </c>
      <c r="P36" s="71">
        <v>19000</v>
      </c>
      <c r="Q36" s="71">
        <v>0</v>
      </c>
      <c r="R36" s="71">
        <v>0</v>
      </c>
      <c r="S36" s="71">
        <v>291000</v>
      </c>
      <c r="T36" s="71">
        <v>0</v>
      </c>
      <c r="U36" s="85">
        <f>IFERROR(Table1[[#This Row],[Earned Income - Training Fees]]+Table1[[#This Row],[Earned Income - Fees]]+Table1[[#This Row],[Earned Income - Investments]]+Table1[[#This Row],[Earned Income - Other]],0)</f>
        <v>0</v>
      </c>
      <c r="V36" s="71">
        <v>0</v>
      </c>
      <c r="W36" s="71">
        <v>0</v>
      </c>
      <c r="X36" s="83" t="s">
        <v>406</v>
      </c>
      <c r="Y36" s="71">
        <v>0</v>
      </c>
      <c r="Z36" s="71">
        <v>0</v>
      </c>
      <c r="AA36" s="83" t="s">
        <v>406</v>
      </c>
      <c r="AB36" s="85">
        <f t="shared" si="1"/>
        <v>1667000</v>
      </c>
      <c r="AC36" s="71">
        <v>635000</v>
      </c>
      <c r="AD36" s="85">
        <f>SUM(Table1[[#This Row],[Expenses - Revenue Generation]:[Expenses - Admin]])</f>
        <v>1032000</v>
      </c>
      <c r="AE36" s="71">
        <v>900000</v>
      </c>
      <c r="AF36" s="71">
        <v>44000</v>
      </c>
      <c r="AG36" s="71">
        <v>88000</v>
      </c>
      <c r="AH36" s="72">
        <f>Table1[[#This Row],[Total FTE - Editorial]]+Table1[[#This Row],[Total FTE - Non-Editorial]]</f>
        <v>11</v>
      </c>
      <c r="AI36" s="72">
        <f>Table1[[#This Row],[FTE Salaried - Editorial]]+Table1[[#This Row],[FTE Contractors - Editorial]]</f>
        <v>6</v>
      </c>
      <c r="AJ36" s="56">
        <v>5</v>
      </c>
      <c r="AK36" s="56">
        <v>1</v>
      </c>
      <c r="AL36" s="57">
        <f>Table1[[#This Row],[FTE Salaried - Non-Editorial]]+Table1[[#This Row],[FTE Contractors - Non-Editorial]]</f>
        <v>5</v>
      </c>
      <c r="AM36" s="56">
        <v>5</v>
      </c>
      <c r="AN36" s="56">
        <v>0</v>
      </c>
      <c r="AO36" s="83" t="s">
        <v>394</v>
      </c>
      <c r="AP36" s="83" t="s">
        <v>406</v>
      </c>
      <c r="AQ36" s="73">
        <v>500000</v>
      </c>
      <c r="AR36" s="73">
        <v>60000</v>
      </c>
      <c r="AS36" s="73">
        <v>35000</v>
      </c>
      <c r="AT36" s="73">
        <v>12</v>
      </c>
      <c r="AU36" s="73">
        <v>0</v>
      </c>
      <c r="AV36" s="83" t="s">
        <v>406</v>
      </c>
      <c r="BC36" s="54"/>
      <c r="BD36" s="54"/>
      <c r="BE36" s="54"/>
      <c r="BF36" s="54"/>
      <c r="BG36" s="54"/>
      <c r="BI36" s="54"/>
      <c r="BK36" s="54"/>
      <c r="BL36" s="54"/>
      <c r="BM36" s="54"/>
      <c r="BN36" s="54"/>
      <c r="BO36" s="54"/>
      <c r="BP36" s="54"/>
      <c r="BS36" s="54"/>
      <c r="BT36" s="54"/>
      <c r="BU36" s="54"/>
      <c r="BV36" s="54"/>
      <c r="BW36" s="54"/>
    </row>
    <row r="37" spans="1:75" x14ac:dyDescent="0.25">
      <c r="A37" s="83" t="s">
        <v>467</v>
      </c>
      <c r="B37" s="83"/>
      <c r="C37" s="83" t="s">
        <v>7</v>
      </c>
      <c r="D37" s="83" t="s">
        <v>78</v>
      </c>
      <c r="E37" s="54" t="str">
        <f>_xlfn.CONCAT(Table1[[#This Row],[Geographic Scope]],": ",Table1[[#This Row],[Sub-Type/Focus]])</f>
        <v>Local: Multiple Related Topics</v>
      </c>
      <c r="F37" s="55">
        <f>Table1[[#This Row],[Total Contributed Income]]+Table1[[#This Row],[Total Earned Income]]</f>
        <v>1202367.26</v>
      </c>
      <c r="G37" s="84">
        <f>IFERROR((Table1[[#This Row],[Cont. Income - Foundation]]+Table1[[#This Row],[Cont. Income - Membership]]+Table1[[#This Row],[Cont. Income - Small Donors]]+Table1[[#This Row],[Cont. Income - Med. Donors]]+Table1[[#This Row],[Cont. Income - Major Donors]]+Table1[[#This Row],[Cont. Income - Other]]),0)</f>
        <v>1192986.26</v>
      </c>
      <c r="H37" s="84">
        <f>IFERROR((Table1[[#This Row],[Earned Income - Advertising]]+Table1[[#This Row],[Earned Income - Sponsorships/Underwriting]]+Table1[[#This Row],[Earned Income - Events]]+Table1[[#This Row],[Earned Income - Subscriptions]]+Table1[[#This Row],[Earned Income - Syndication]]+Table1[[#This Row],[Earned Income - Other TOTAL]]),0)</f>
        <v>9381</v>
      </c>
      <c r="I37" s="71">
        <v>411888.66</v>
      </c>
      <c r="J37" s="71">
        <v>0</v>
      </c>
      <c r="K37" s="71">
        <v>28831.69</v>
      </c>
      <c r="L37" s="71">
        <v>181036.92</v>
      </c>
      <c r="M37" s="71">
        <v>555693.98</v>
      </c>
      <c r="N37" s="71">
        <v>15535.01</v>
      </c>
      <c r="O37" s="76" t="s">
        <v>468</v>
      </c>
      <c r="P37" s="71">
        <v>0</v>
      </c>
      <c r="Q37" s="71">
        <v>0</v>
      </c>
      <c r="R37" s="71">
        <v>0</v>
      </c>
      <c r="S37" s="71">
        <v>0</v>
      </c>
      <c r="T37" s="71">
        <v>0</v>
      </c>
      <c r="U37" s="85">
        <f>IFERROR(Table1[[#This Row],[Earned Income - Training Fees]]+Table1[[#This Row],[Earned Income - Fees]]+Table1[[#This Row],[Earned Income - Investments]]+Table1[[#This Row],[Earned Income - Other]],0)</f>
        <v>9381</v>
      </c>
      <c r="V37" s="71">
        <v>0</v>
      </c>
      <c r="W37" s="71">
        <v>5762</v>
      </c>
      <c r="X37" s="83" t="s">
        <v>469</v>
      </c>
      <c r="Y37" s="71">
        <v>919</v>
      </c>
      <c r="Z37" s="71">
        <v>2700</v>
      </c>
      <c r="AA37" s="83" t="s">
        <v>470</v>
      </c>
      <c r="AB37" s="85">
        <f t="shared" si="1"/>
        <v>1139189</v>
      </c>
      <c r="AC37" s="71">
        <v>828673</v>
      </c>
      <c r="AD37" s="85">
        <f>SUM(Table1[[#This Row],[Expenses - Revenue Generation]:[Expenses - Admin]])</f>
        <v>310516</v>
      </c>
      <c r="AE37" s="71">
        <v>167630</v>
      </c>
      <c r="AF37" s="71">
        <v>41826</v>
      </c>
      <c r="AG37" s="71">
        <v>101060</v>
      </c>
      <c r="AH37" s="72">
        <f>Table1[[#This Row],[Total FTE - Editorial]]+Table1[[#This Row],[Total FTE - Non-Editorial]]</f>
        <v>13.5</v>
      </c>
      <c r="AI37" s="72">
        <f>Table1[[#This Row],[FTE Salaried - Editorial]]+Table1[[#This Row],[FTE Contractors - Editorial]]</f>
        <v>10</v>
      </c>
      <c r="AJ37" s="56">
        <v>10</v>
      </c>
      <c r="AK37" s="56">
        <v>0</v>
      </c>
      <c r="AL37" s="57">
        <f>Table1[[#This Row],[FTE Salaried - Non-Editorial]]+Table1[[#This Row],[FTE Contractors - Non-Editorial]]</f>
        <v>3.5</v>
      </c>
      <c r="AM37" s="56">
        <v>2.5</v>
      </c>
      <c r="AN37" s="56">
        <v>1</v>
      </c>
      <c r="AO37" s="83" t="s">
        <v>342</v>
      </c>
      <c r="AP37" s="83" t="s">
        <v>406</v>
      </c>
      <c r="AQ37" s="73">
        <v>16265</v>
      </c>
      <c r="AR37" s="73">
        <v>3497</v>
      </c>
      <c r="AS37" s="73">
        <v>0</v>
      </c>
      <c r="AT37" s="73">
        <v>0</v>
      </c>
      <c r="AU37" s="73">
        <v>0</v>
      </c>
      <c r="AV37" s="83" t="s">
        <v>406</v>
      </c>
      <c r="BC37" s="54"/>
      <c r="BD37" s="54"/>
      <c r="BE37" s="54"/>
      <c r="BF37" s="54"/>
      <c r="BG37" s="54"/>
      <c r="BI37" s="54"/>
      <c r="BK37" s="54"/>
      <c r="BL37" s="54"/>
      <c r="BM37" s="54"/>
      <c r="BN37" s="54"/>
      <c r="BO37" s="54"/>
      <c r="BP37" s="54"/>
      <c r="BS37" s="54"/>
      <c r="BT37" s="54"/>
      <c r="BU37" s="54"/>
      <c r="BV37" s="54"/>
      <c r="BW37" s="54"/>
    </row>
    <row r="38" spans="1:75" x14ac:dyDescent="0.25">
      <c r="A38" s="83" t="s">
        <v>471</v>
      </c>
      <c r="B38" s="83"/>
      <c r="C38" s="83" t="s">
        <v>7</v>
      </c>
      <c r="D38" s="83" t="s">
        <v>78</v>
      </c>
      <c r="E38" s="54" t="str">
        <f>_xlfn.CONCAT(Table1[[#This Row],[Geographic Scope]],": ",Table1[[#This Row],[Sub-Type/Focus]])</f>
        <v>Local: Multiple Related Topics</v>
      </c>
      <c r="F38" s="55">
        <f>Table1[[#This Row],[Total Contributed Income]]+Table1[[#This Row],[Total Earned Income]]</f>
        <v>1009967</v>
      </c>
      <c r="G38" s="84">
        <f>IFERROR((Table1[[#This Row],[Cont. Income - Foundation]]+Table1[[#This Row],[Cont. Income - Membership]]+Table1[[#This Row],[Cont. Income - Small Donors]]+Table1[[#This Row],[Cont. Income - Med. Donors]]+Table1[[#This Row],[Cont. Income - Major Donors]]+Table1[[#This Row],[Cont. Income - Other]]),0)</f>
        <v>1009779</v>
      </c>
      <c r="H38" s="84">
        <f>IFERROR((Table1[[#This Row],[Earned Income - Advertising]]+Table1[[#This Row],[Earned Income - Sponsorships/Underwriting]]+Table1[[#This Row],[Earned Income - Events]]+Table1[[#This Row],[Earned Income - Subscriptions]]+Table1[[#This Row],[Earned Income - Syndication]]+Table1[[#This Row],[Earned Income - Other TOTAL]]),0)</f>
        <v>188</v>
      </c>
      <c r="I38" s="71">
        <v>249500</v>
      </c>
      <c r="J38" s="71">
        <v>0</v>
      </c>
      <c r="K38" s="71">
        <v>0</v>
      </c>
      <c r="L38" s="71">
        <v>105779</v>
      </c>
      <c r="M38" s="71">
        <v>315000</v>
      </c>
      <c r="N38" s="71">
        <v>339500</v>
      </c>
      <c r="O38" s="76" t="s">
        <v>472</v>
      </c>
      <c r="P38" s="71">
        <v>0</v>
      </c>
      <c r="Q38" s="71">
        <v>0</v>
      </c>
      <c r="R38" s="71">
        <v>0</v>
      </c>
      <c r="S38" s="71">
        <v>0</v>
      </c>
      <c r="T38" s="71">
        <v>188</v>
      </c>
      <c r="U38" s="85">
        <f>IFERROR(Table1[[#This Row],[Earned Income - Training Fees]]+Table1[[#This Row],[Earned Income - Fees]]+Table1[[#This Row],[Earned Income - Investments]]+Table1[[#This Row],[Earned Income - Other]],0)</f>
        <v>0</v>
      </c>
      <c r="V38" s="71">
        <v>0</v>
      </c>
      <c r="W38" s="71">
        <v>0</v>
      </c>
      <c r="X38" s="83" t="s">
        <v>406</v>
      </c>
      <c r="Y38" s="71">
        <v>0</v>
      </c>
      <c r="Z38" s="71">
        <v>0</v>
      </c>
      <c r="AA38" s="83" t="s">
        <v>406</v>
      </c>
      <c r="AB38" s="85">
        <f t="shared" si="1"/>
        <v>851000</v>
      </c>
      <c r="AC38" s="71">
        <v>470000</v>
      </c>
      <c r="AD38" s="85">
        <f>SUM(Table1[[#This Row],[Expenses - Revenue Generation]:[Expenses - Admin]])</f>
        <v>381000</v>
      </c>
      <c r="AE38" s="71">
        <v>75000</v>
      </c>
      <c r="AF38" s="71">
        <v>0</v>
      </c>
      <c r="AG38" s="71">
        <v>306000</v>
      </c>
      <c r="AH38" s="72">
        <f>Table1[[#This Row],[Total FTE - Editorial]]+Table1[[#This Row],[Total FTE - Non-Editorial]]</f>
        <v>9</v>
      </c>
      <c r="AI38" s="72">
        <f>Table1[[#This Row],[FTE Salaried - Editorial]]+Table1[[#This Row],[FTE Contractors - Editorial]]</f>
        <v>6</v>
      </c>
      <c r="AJ38" s="56">
        <v>6</v>
      </c>
      <c r="AK38" s="56">
        <v>0</v>
      </c>
      <c r="AL38" s="57">
        <f>Table1[[#This Row],[FTE Salaried - Non-Editorial]]+Table1[[#This Row],[FTE Contractors - Non-Editorial]]</f>
        <v>3</v>
      </c>
      <c r="AM38" s="56">
        <v>3</v>
      </c>
      <c r="AN38" s="56">
        <v>0</v>
      </c>
      <c r="AO38" s="83" t="s">
        <v>342</v>
      </c>
      <c r="AP38" s="83" t="s">
        <v>406</v>
      </c>
      <c r="AQ38" s="73">
        <v>31583</v>
      </c>
      <c r="AR38" s="73">
        <v>2000</v>
      </c>
      <c r="AS38" s="73">
        <v>0</v>
      </c>
      <c r="AT38" s="73">
        <v>0</v>
      </c>
      <c r="AU38" s="73">
        <v>0</v>
      </c>
      <c r="AV38" s="83" t="s">
        <v>406</v>
      </c>
      <c r="BC38" s="54"/>
      <c r="BD38" s="54"/>
      <c r="BE38" s="54"/>
      <c r="BF38" s="54"/>
      <c r="BG38" s="54"/>
      <c r="BI38" s="54"/>
      <c r="BK38" s="54"/>
      <c r="BL38" s="54"/>
      <c r="BM38" s="54"/>
      <c r="BN38" s="54"/>
      <c r="BO38" s="54"/>
      <c r="BP38" s="54"/>
      <c r="BS38" s="54"/>
      <c r="BT38" s="54"/>
      <c r="BU38" s="54"/>
      <c r="BV38" s="54"/>
      <c r="BW38" s="54"/>
    </row>
    <row r="39" spans="1:75" x14ac:dyDescent="0.25">
      <c r="A39" s="83" t="s">
        <v>473</v>
      </c>
      <c r="B39" s="83"/>
      <c r="C39" s="83" t="s">
        <v>378</v>
      </c>
      <c r="D39" s="83" t="s">
        <v>78</v>
      </c>
      <c r="E39" s="54" t="str">
        <f>_xlfn.CONCAT(Table1[[#This Row],[Geographic Scope]],": ",Table1[[#This Row],[Sub-Type/Focus]])</f>
        <v>Regional: Multiple Related Topics</v>
      </c>
      <c r="F39" s="55">
        <f>Table1[[#This Row],[Total Contributed Income]]+Table1[[#This Row],[Total Earned Income]]</f>
        <v>203983.02000000002</v>
      </c>
      <c r="G39" s="84">
        <f>IFERROR((Table1[[#This Row],[Cont. Income - Foundation]]+Table1[[#This Row],[Cont. Income - Membership]]+Table1[[#This Row],[Cont. Income - Small Donors]]+Table1[[#This Row],[Cont. Income - Med. Donors]]+Table1[[#This Row],[Cont. Income - Major Donors]]+Table1[[#This Row],[Cont. Income - Other]]),0)</f>
        <v>197529.7</v>
      </c>
      <c r="H39" s="84">
        <f>IFERROR((Table1[[#This Row],[Earned Income - Advertising]]+Table1[[#This Row],[Earned Income - Sponsorships/Underwriting]]+Table1[[#This Row],[Earned Income - Events]]+Table1[[#This Row],[Earned Income - Subscriptions]]+Table1[[#This Row],[Earned Income - Syndication]]+Table1[[#This Row],[Earned Income - Other TOTAL]]),0)</f>
        <v>6453.3200000000006</v>
      </c>
      <c r="I39" s="71">
        <v>132359.76</v>
      </c>
      <c r="J39" s="71">
        <v>0</v>
      </c>
      <c r="K39" s="71">
        <v>25843.75</v>
      </c>
      <c r="L39" s="71">
        <v>24326.19</v>
      </c>
      <c r="M39" s="71">
        <v>15000</v>
      </c>
      <c r="N39" s="71">
        <v>0</v>
      </c>
      <c r="O39" s="76" t="s">
        <v>406</v>
      </c>
      <c r="P39" s="71">
        <v>0</v>
      </c>
      <c r="Q39" s="71">
        <v>0</v>
      </c>
      <c r="R39" s="71">
        <v>0</v>
      </c>
      <c r="S39" s="71">
        <v>0</v>
      </c>
      <c r="T39" s="71">
        <v>468.96</v>
      </c>
      <c r="U39" s="85">
        <f>IFERROR(Table1[[#This Row],[Earned Income - Training Fees]]+Table1[[#This Row],[Earned Income - Fees]]+Table1[[#This Row],[Earned Income - Investments]]+Table1[[#This Row],[Earned Income - Other]],0)</f>
        <v>5984.3600000000006</v>
      </c>
      <c r="V39" s="71">
        <v>0</v>
      </c>
      <c r="W39" s="71">
        <v>212.55</v>
      </c>
      <c r="X39" s="83" t="s">
        <v>406</v>
      </c>
      <c r="Y39" s="71">
        <v>5000.04</v>
      </c>
      <c r="Z39" s="71">
        <v>771.77</v>
      </c>
      <c r="AA39" s="83" t="s">
        <v>406</v>
      </c>
      <c r="AB39" s="85">
        <f t="shared" si="1"/>
        <v>194135.19</v>
      </c>
      <c r="AC39" s="71">
        <v>88770.54</v>
      </c>
      <c r="AD39" s="85">
        <f>SUM(Table1[[#This Row],[Expenses - Revenue Generation]:[Expenses - Admin]])</f>
        <v>105364.65</v>
      </c>
      <c r="AE39" s="71">
        <v>43947.49</v>
      </c>
      <c r="AF39" s="71">
        <v>4793.41</v>
      </c>
      <c r="AG39" s="71">
        <v>56623.75</v>
      </c>
      <c r="AH39" s="72">
        <f>Table1[[#This Row],[Total FTE - Editorial]]+Table1[[#This Row],[Total FTE - Non-Editorial]]</f>
        <v>6.25</v>
      </c>
      <c r="AI39" s="72">
        <f>Table1[[#This Row],[FTE Salaried - Editorial]]+Table1[[#This Row],[FTE Contractors - Editorial]]</f>
        <v>4.5</v>
      </c>
      <c r="AJ39" s="56">
        <v>1</v>
      </c>
      <c r="AK39" s="56">
        <v>3.5</v>
      </c>
      <c r="AL39" s="57">
        <f>Table1[[#This Row],[FTE Salaried - Non-Editorial]]+Table1[[#This Row],[FTE Contractors - Non-Editorial]]</f>
        <v>1.75</v>
      </c>
      <c r="AM39" s="56">
        <v>0.75</v>
      </c>
      <c r="AN39" s="56">
        <v>1</v>
      </c>
      <c r="AO39" s="83" t="s">
        <v>342</v>
      </c>
      <c r="AP39" s="83" t="s">
        <v>406</v>
      </c>
      <c r="AQ39" s="73">
        <v>9350</v>
      </c>
      <c r="AR39" s="73">
        <v>1176</v>
      </c>
      <c r="AS39" s="73">
        <v>0</v>
      </c>
      <c r="AT39" s="73">
        <v>0</v>
      </c>
      <c r="AU39" s="73">
        <v>0</v>
      </c>
      <c r="AV39" s="83" t="s">
        <v>406</v>
      </c>
      <c r="BC39" s="54"/>
      <c r="BD39" s="54"/>
      <c r="BE39" s="54"/>
      <c r="BF39" s="54"/>
      <c r="BG39" s="54"/>
      <c r="BI39" s="54"/>
      <c r="BK39" s="54"/>
      <c r="BL39" s="54"/>
      <c r="BM39" s="54"/>
      <c r="BN39" s="54"/>
      <c r="BO39" s="54"/>
      <c r="BP39" s="54"/>
      <c r="BS39" s="54"/>
      <c r="BT39" s="54"/>
      <c r="BU39" s="54"/>
      <c r="BV39" s="54"/>
      <c r="BW39" s="54"/>
    </row>
    <row r="40" spans="1:75" x14ac:dyDescent="0.25">
      <c r="A40" s="83" t="s">
        <v>474</v>
      </c>
      <c r="B40" s="83"/>
      <c r="C40" s="83" t="s">
        <v>7</v>
      </c>
      <c r="D40" s="83" t="s">
        <v>78</v>
      </c>
      <c r="E40" s="54" t="str">
        <f>_xlfn.CONCAT(Table1[[#This Row],[Geographic Scope]],": ",Table1[[#This Row],[Sub-Type/Focus]])</f>
        <v>Local: Multiple Related Topics</v>
      </c>
      <c r="F40" s="55">
        <f>Table1[[#This Row],[Total Contributed Income]]+Table1[[#This Row],[Total Earned Income]]</f>
        <v>262020</v>
      </c>
      <c r="G40" s="84">
        <f>IFERROR((Table1[[#This Row],[Cont. Income - Foundation]]+Table1[[#This Row],[Cont. Income - Membership]]+Table1[[#This Row],[Cont. Income - Small Donors]]+Table1[[#This Row],[Cont. Income - Med. Donors]]+Table1[[#This Row],[Cont. Income - Major Donors]]+Table1[[#This Row],[Cont. Income - Other]]),0)</f>
        <v>167525</v>
      </c>
      <c r="H40" s="84">
        <f>IFERROR((Table1[[#This Row],[Earned Income - Advertising]]+Table1[[#This Row],[Earned Income - Sponsorships/Underwriting]]+Table1[[#This Row],[Earned Income - Events]]+Table1[[#This Row],[Earned Income - Subscriptions]]+Table1[[#This Row],[Earned Income - Syndication]]+Table1[[#This Row],[Earned Income - Other TOTAL]]),0)</f>
        <v>94495</v>
      </c>
      <c r="I40" s="71">
        <v>62300</v>
      </c>
      <c r="J40" s="71">
        <v>0</v>
      </c>
      <c r="K40" s="71">
        <v>33525</v>
      </c>
      <c r="L40" s="71">
        <v>47200</v>
      </c>
      <c r="M40" s="71">
        <v>24500</v>
      </c>
      <c r="N40" s="71">
        <v>0</v>
      </c>
      <c r="O40" s="76" t="s">
        <v>406</v>
      </c>
      <c r="P40" s="71">
        <v>0</v>
      </c>
      <c r="Q40" s="71">
        <v>0</v>
      </c>
      <c r="R40" s="71">
        <v>20230</v>
      </c>
      <c r="S40" s="71">
        <v>0</v>
      </c>
      <c r="T40" s="71">
        <v>74265</v>
      </c>
      <c r="U40" s="85">
        <f>IFERROR(Table1[[#This Row],[Earned Income - Training Fees]]+Table1[[#This Row],[Earned Income - Fees]]+Table1[[#This Row],[Earned Income - Investments]]+Table1[[#This Row],[Earned Income - Other]],0)</f>
        <v>0</v>
      </c>
      <c r="V40" s="71">
        <v>0</v>
      </c>
      <c r="W40" s="71">
        <v>0</v>
      </c>
      <c r="X40" s="83" t="s">
        <v>406</v>
      </c>
      <c r="Y40" s="71">
        <v>0</v>
      </c>
      <c r="Z40" s="71">
        <v>0</v>
      </c>
      <c r="AA40" s="83" t="s">
        <v>406</v>
      </c>
      <c r="AB40" s="85">
        <f t="shared" si="1"/>
        <v>334420</v>
      </c>
      <c r="AC40" s="71">
        <v>238683</v>
      </c>
      <c r="AD40" s="85">
        <f>SUM(Table1[[#This Row],[Expenses - Revenue Generation]:[Expenses - Admin]])</f>
        <v>95737</v>
      </c>
      <c r="AE40" s="71">
        <v>20088</v>
      </c>
      <c r="AF40" s="71">
        <v>11856</v>
      </c>
      <c r="AG40" s="71">
        <v>63793</v>
      </c>
      <c r="AH40" s="72">
        <f>Table1[[#This Row],[Total FTE - Editorial]]+Table1[[#This Row],[Total FTE - Non-Editorial]]</f>
        <v>4</v>
      </c>
      <c r="AI40" s="72">
        <f>Table1[[#This Row],[FTE Salaried - Editorial]]+Table1[[#This Row],[FTE Contractors - Editorial]]</f>
        <v>4</v>
      </c>
      <c r="AJ40" s="56">
        <v>4</v>
      </c>
      <c r="AK40" s="56">
        <v>0</v>
      </c>
      <c r="AL40" s="57">
        <f>Table1[[#This Row],[FTE Salaried - Non-Editorial]]+Table1[[#This Row],[FTE Contractors - Non-Editorial]]</f>
        <v>0</v>
      </c>
      <c r="AM40" s="56">
        <v>0</v>
      </c>
      <c r="AN40" s="56">
        <v>0</v>
      </c>
      <c r="AO40" s="83" t="s">
        <v>342</v>
      </c>
      <c r="AP40" s="83" t="s">
        <v>406</v>
      </c>
      <c r="AQ40" s="73">
        <v>3500</v>
      </c>
      <c r="AR40" s="73">
        <v>2900</v>
      </c>
      <c r="AS40" s="73">
        <v>0</v>
      </c>
      <c r="AT40" s="73">
        <v>0</v>
      </c>
      <c r="AU40" s="73">
        <v>200000</v>
      </c>
      <c r="AV40" s="83" t="s">
        <v>475</v>
      </c>
      <c r="BC40" s="54"/>
      <c r="BD40" s="54"/>
      <c r="BE40" s="54"/>
      <c r="BF40" s="54"/>
      <c r="BG40" s="54"/>
      <c r="BI40" s="54"/>
      <c r="BK40" s="54"/>
      <c r="BL40" s="54"/>
      <c r="BM40" s="54"/>
      <c r="BN40" s="54"/>
      <c r="BO40" s="54"/>
      <c r="BP40" s="54"/>
      <c r="BS40" s="54"/>
      <c r="BT40" s="54"/>
      <c r="BU40" s="54"/>
      <c r="BV40" s="54"/>
      <c r="BW40" s="54"/>
    </row>
    <row r="41" spans="1:75" x14ac:dyDescent="0.25">
      <c r="A41" s="83" t="s">
        <v>476</v>
      </c>
      <c r="B41" s="83"/>
      <c r="C41" s="83" t="s">
        <v>6</v>
      </c>
      <c r="D41" s="83" t="s">
        <v>78</v>
      </c>
      <c r="E41" s="54" t="str">
        <f>_xlfn.CONCAT(Table1[[#This Row],[Geographic Scope]],": ",Table1[[#This Row],[Sub-Type/Focus]])</f>
        <v>National: Multiple Related Topics</v>
      </c>
      <c r="F41" s="55">
        <f>Table1[[#This Row],[Total Contributed Income]]+Table1[[#This Row],[Total Earned Income]]</f>
        <v>1871539</v>
      </c>
      <c r="G41" s="84">
        <f>IFERROR((Table1[[#This Row],[Cont. Income - Foundation]]+Table1[[#This Row],[Cont. Income - Membership]]+Table1[[#This Row],[Cont. Income - Small Donors]]+Table1[[#This Row],[Cont. Income - Med. Donors]]+Table1[[#This Row],[Cont. Income - Major Donors]]+Table1[[#This Row],[Cont. Income - Other]]),0)</f>
        <v>1203760</v>
      </c>
      <c r="H41" s="84">
        <f>IFERROR((Table1[[#This Row],[Earned Income - Advertising]]+Table1[[#This Row],[Earned Income - Sponsorships/Underwriting]]+Table1[[#This Row],[Earned Income - Events]]+Table1[[#This Row],[Earned Income - Subscriptions]]+Table1[[#This Row],[Earned Income - Syndication]]+Table1[[#This Row],[Earned Income - Other TOTAL]]),0)</f>
        <v>667779</v>
      </c>
      <c r="I41" s="71">
        <v>925000</v>
      </c>
      <c r="J41" s="71">
        <v>0</v>
      </c>
      <c r="K41" s="71">
        <v>168760</v>
      </c>
      <c r="L41" s="71">
        <v>0</v>
      </c>
      <c r="M41" s="71">
        <v>110000</v>
      </c>
      <c r="N41" s="71">
        <v>0</v>
      </c>
      <c r="O41" s="76" t="s">
        <v>406</v>
      </c>
      <c r="P41" s="71">
        <v>0</v>
      </c>
      <c r="Q41" s="71">
        <v>0</v>
      </c>
      <c r="R41" s="71">
        <v>0</v>
      </c>
      <c r="S41" s="71">
        <v>0</v>
      </c>
      <c r="T41" s="71">
        <v>2118</v>
      </c>
      <c r="U41" s="85">
        <f>IFERROR(Table1[[#This Row],[Earned Income - Training Fees]]+Table1[[#This Row],[Earned Income - Fees]]+Table1[[#This Row],[Earned Income - Investments]]+Table1[[#This Row],[Earned Income - Other]],0)</f>
        <v>665661</v>
      </c>
      <c r="V41" s="71">
        <v>0</v>
      </c>
      <c r="W41" s="71">
        <v>0</v>
      </c>
      <c r="X41" s="83" t="s">
        <v>406</v>
      </c>
      <c r="Y41" s="71">
        <v>0</v>
      </c>
      <c r="Z41" s="71">
        <v>665661</v>
      </c>
      <c r="AA41" s="83" t="s">
        <v>477</v>
      </c>
      <c r="AB41" s="85">
        <f t="shared" si="1"/>
        <v>1873835</v>
      </c>
      <c r="AC41" s="71">
        <v>1468256</v>
      </c>
      <c r="AD41" s="85">
        <f>SUM(Table1[[#This Row],[Expenses - Revenue Generation]:[Expenses - Admin]])</f>
        <v>405579</v>
      </c>
      <c r="AE41" s="71">
        <v>174010</v>
      </c>
      <c r="AF41" s="71">
        <v>22884</v>
      </c>
      <c r="AG41" s="71">
        <v>208685</v>
      </c>
      <c r="AH41" s="72">
        <f>Table1[[#This Row],[Total FTE - Editorial]]+Table1[[#This Row],[Total FTE - Non-Editorial]]</f>
        <v>15</v>
      </c>
      <c r="AI41" s="72">
        <f>Table1[[#This Row],[FTE Salaried - Editorial]]+Table1[[#This Row],[FTE Contractors - Editorial]]</f>
        <v>11</v>
      </c>
      <c r="AJ41" s="56">
        <v>6</v>
      </c>
      <c r="AK41" s="56">
        <v>5</v>
      </c>
      <c r="AL41" s="57">
        <f>Table1[[#This Row],[FTE Salaried - Non-Editorial]]+Table1[[#This Row],[FTE Contractors - Non-Editorial]]</f>
        <v>4</v>
      </c>
      <c r="AM41" s="56">
        <v>4</v>
      </c>
      <c r="AN41" s="56">
        <v>0</v>
      </c>
      <c r="AO41" s="83" t="s">
        <v>342</v>
      </c>
      <c r="AP41" s="83" t="s">
        <v>406</v>
      </c>
      <c r="AQ41" s="73">
        <v>6872</v>
      </c>
      <c r="AR41" s="73">
        <v>1250</v>
      </c>
      <c r="AS41" s="73">
        <v>0</v>
      </c>
      <c r="AT41" s="73">
        <v>0</v>
      </c>
      <c r="AU41" s="73">
        <v>1600000</v>
      </c>
      <c r="AV41" s="83" t="s">
        <v>475</v>
      </c>
      <c r="BC41" s="54"/>
      <c r="BD41" s="54"/>
      <c r="BE41" s="54"/>
      <c r="BF41" s="54"/>
      <c r="BG41" s="54"/>
      <c r="BI41" s="54"/>
      <c r="BK41" s="54"/>
      <c r="BL41" s="54"/>
      <c r="BM41" s="54"/>
      <c r="BN41" s="54"/>
      <c r="BO41" s="54"/>
      <c r="BP41" s="54"/>
      <c r="BS41" s="54"/>
      <c r="BT41" s="54"/>
      <c r="BU41" s="54"/>
      <c r="BV41" s="54"/>
      <c r="BW41" s="54"/>
    </row>
    <row r="42" spans="1:75" x14ac:dyDescent="0.25">
      <c r="A42" s="83" t="s">
        <v>478</v>
      </c>
      <c r="B42" s="83"/>
      <c r="C42" s="83" t="s">
        <v>83</v>
      </c>
      <c r="D42" s="83" t="s">
        <v>77</v>
      </c>
      <c r="E42" s="54" t="str">
        <f>_xlfn.CONCAT(Table1[[#This Row],[Geographic Scope]],": ",Table1[[#This Row],[Sub-Type/Focus]])</f>
        <v>State: General</v>
      </c>
      <c r="F42" s="55">
        <f>Table1[[#This Row],[Total Contributed Income]]+Table1[[#This Row],[Total Earned Income]]</f>
        <v>127508.23</v>
      </c>
      <c r="G42" s="84">
        <f>IFERROR((Table1[[#This Row],[Cont. Income - Foundation]]+Table1[[#This Row],[Cont. Income - Membership]]+Table1[[#This Row],[Cont. Income - Small Donors]]+Table1[[#This Row],[Cont. Income - Med. Donors]]+Table1[[#This Row],[Cont. Income - Major Donors]]+Table1[[#This Row],[Cont. Income - Other]]),0)</f>
        <v>116508.23</v>
      </c>
      <c r="H42" s="84">
        <f>IFERROR((Table1[[#This Row],[Earned Income - Advertising]]+Table1[[#This Row],[Earned Income - Sponsorships/Underwriting]]+Table1[[#This Row],[Earned Income - Events]]+Table1[[#This Row],[Earned Income - Subscriptions]]+Table1[[#This Row],[Earned Income - Syndication]]+Table1[[#This Row],[Earned Income - Other TOTAL]]),0)</f>
        <v>11000</v>
      </c>
      <c r="I42" s="71">
        <v>79844.92</v>
      </c>
      <c r="J42" s="71">
        <v>0</v>
      </c>
      <c r="K42" s="71">
        <v>15501.11</v>
      </c>
      <c r="L42" s="71">
        <v>3000</v>
      </c>
      <c r="M42" s="71">
        <v>10162.200000000001</v>
      </c>
      <c r="N42" s="71">
        <v>8000</v>
      </c>
      <c r="O42" s="76" t="s">
        <v>479</v>
      </c>
      <c r="P42" s="71">
        <v>0</v>
      </c>
      <c r="Q42" s="71">
        <v>0</v>
      </c>
      <c r="R42" s="71">
        <v>5000</v>
      </c>
      <c r="S42" s="71">
        <v>6000</v>
      </c>
      <c r="T42" s="71">
        <v>0</v>
      </c>
      <c r="U42" s="85">
        <f>IFERROR(Table1[[#This Row],[Earned Income - Training Fees]]+Table1[[#This Row],[Earned Income - Fees]]+Table1[[#This Row],[Earned Income - Investments]]+Table1[[#This Row],[Earned Income - Other]],0)</f>
        <v>0</v>
      </c>
      <c r="V42" s="71">
        <v>0</v>
      </c>
      <c r="W42" s="71">
        <v>0</v>
      </c>
      <c r="X42" s="83" t="s">
        <v>406</v>
      </c>
      <c r="Y42" s="71">
        <v>0</v>
      </c>
      <c r="Z42" s="71">
        <v>0</v>
      </c>
      <c r="AA42" s="83" t="s">
        <v>406</v>
      </c>
      <c r="AB42" s="85">
        <f t="shared" si="1"/>
        <v>107065.37</v>
      </c>
      <c r="AC42" s="71">
        <v>92065.37</v>
      </c>
      <c r="AD42" s="85">
        <f>SUM(Table1[[#This Row],[Expenses - Revenue Generation]:[Expenses - Admin]])</f>
        <v>15000</v>
      </c>
      <c r="AE42" s="71">
        <v>4000</v>
      </c>
      <c r="AF42" s="71">
        <v>1000</v>
      </c>
      <c r="AG42" s="71">
        <v>10000</v>
      </c>
      <c r="AH42" s="72">
        <f>Table1[[#This Row],[Total FTE - Editorial]]+Table1[[#This Row],[Total FTE - Non-Editorial]]</f>
        <v>2</v>
      </c>
      <c r="AI42" s="72">
        <f>Table1[[#This Row],[FTE Salaried - Editorial]]+Table1[[#This Row],[FTE Contractors - Editorial]]</f>
        <v>0.75</v>
      </c>
      <c r="AJ42" s="56">
        <v>0.25</v>
      </c>
      <c r="AK42" s="56">
        <v>0.5</v>
      </c>
      <c r="AL42" s="57">
        <f>Table1[[#This Row],[FTE Salaried - Non-Editorial]]+Table1[[#This Row],[FTE Contractors - Non-Editorial]]</f>
        <v>1.25</v>
      </c>
      <c r="AM42" s="56">
        <v>0.75</v>
      </c>
      <c r="AN42" s="56">
        <v>0.5</v>
      </c>
      <c r="AO42" s="83" t="s">
        <v>394</v>
      </c>
      <c r="AP42" s="83" t="s">
        <v>406</v>
      </c>
      <c r="AQ42" s="73">
        <v>0</v>
      </c>
      <c r="AR42" s="73">
        <v>242</v>
      </c>
      <c r="AS42" s="73">
        <v>0</v>
      </c>
      <c r="AT42" s="73">
        <v>0</v>
      </c>
      <c r="AU42" s="73">
        <v>0</v>
      </c>
      <c r="AV42" s="83" t="s">
        <v>406</v>
      </c>
      <c r="BC42" s="54"/>
      <c r="BD42" s="54"/>
      <c r="BE42" s="54"/>
      <c r="BF42" s="54"/>
      <c r="BG42" s="54"/>
      <c r="BI42" s="54"/>
      <c r="BK42" s="54"/>
      <c r="BL42" s="54"/>
      <c r="BM42" s="54"/>
      <c r="BN42" s="54"/>
      <c r="BO42" s="54"/>
      <c r="BP42" s="54"/>
      <c r="BS42" s="54"/>
      <c r="BT42" s="54"/>
      <c r="BU42" s="54"/>
      <c r="BV42" s="54"/>
      <c r="BW42" s="54"/>
    </row>
    <row r="43" spans="1:75" x14ac:dyDescent="0.25">
      <c r="A43" s="83" t="s">
        <v>480</v>
      </c>
      <c r="B43" s="83"/>
      <c r="C43" s="83" t="s">
        <v>6</v>
      </c>
      <c r="D43" s="83" t="s">
        <v>79</v>
      </c>
      <c r="E43" s="54" t="str">
        <f>_xlfn.CONCAT(Table1[[#This Row],[Geographic Scope]],": ",Table1[[#This Row],[Sub-Type/Focus]])</f>
        <v>National: Single-Topic</v>
      </c>
      <c r="F43" s="55">
        <f>Table1[[#This Row],[Total Contributed Income]]+Table1[[#This Row],[Total Earned Income]]</f>
        <v>768479.25</v>
      </c>
      <c r="G43" s="84">
        <f>IFERROR((Table1[[#This Row],[Cont. Income - Foundation]]+Table1[[#This Row],[Cont. Income - Membership]]+Table1[[#This Row],[Cont. Income - Small Donors]]+Table1[[#This Row],[Cont. Income - Med. Donors]]+Table1[[#This Row],[Cont. Income - Major Donors]]+Table1[[#This Row],[Cont. Income - Other]]),0)</f>
        <v>436205.25</v>
      </c>
      <c r="H43" s="84">
        <f>IFERROR((Table1[[#This Row],[Earned Income - Advertising]]+Table1[[#This Row],[Earned Income - Sponsorships/Underwriting]]+Table1[[#This Row],[Earned Income - Events]]+Table1[[#This Row],[Earned Income - Subscriptions]]+Table1[[#This Row],[Earned Income - Syndication]]+Table1[[#This Row],[Earned Income - Other TOTAL]]),0)</f>
        <v>332274</v>
      </c>
      <c r="I43" s="71">
        <v>374485</v>
      </c>
      <c r="J43" s="71">
        <v>0</v>
      </c>
      <c r="K43" s="71">
        <v>13210</v>
      </c>
      <c r="L43" s="71">
        <v>6000</v>
      </c>
      <c r="M43" s="71">
        <v>42510.25</v>
      </c>
      <c r="N43" s="71">
        <v>0</v>
      </c>
      <c r="O43" s="76" t="s">
        <v>406</v>
      </c>
      <c r="P43" s="71">
        <v>20000</v>
      </c>
      <c r="Q43" s="71">
        <v>0</v>
      </c>
      <c r="R43" s="71">
        <v>0</v>
      </c>
      <c r="S43" s="71">
        <v>30000</v>
      </c>
      <c r="T43" s="71">
        <v>11000</v>
      </c>
      <c r="U43" s="85">
        <f>IFERROR(Table1[[#This Row],[Earned Income - Training Fees]]+Table1[[#This Row],[Earned Income - Fees]]+Table1[[#This Row],[Earned Income - Investments]]+Table1[[#This Row],[Earned Income - Other]],0)</f>
        <v>271274</v>
      </c>
      <c r="V43" s="71">
        <v>0</v>
      </c>
      <c r="W43" s="71">
        <v>0</v>
      </c>
      <c r="X43" s="83" t="s">
        <v>406</v>
      </c>
      <c r="Y43" s="71">
        <v>0</v>
      </c>
      <c r="Z43" s="71">
        <v>271274</v>
      </c>
      <c r="AA43" s="83" t="s">
        <v>481</v>
      </c>
      <c r="AB43" s="85">
        <f t="shared" si="1"/>
        <v>769500</v>
      </c>
      <c r="AC43" s="71">
        <v>659000</v>
      </c>
      <c r="AD43" s="85">
        <f>SUM(Table1[[#This Row],[Expenses - Revenue Generation]:[Expenses - Admin]])</f>
        <v>110500</v>
      </c>
      <c r="AE43" s="71">
        <v>45000</v>
      </c>
      <c r="AF43" s="71">
        <v>26500</v>
      </c>
      <c r="AG43" s="71">
        <v>39000</v>
      </c>
      <c r="AH43" s="72">
        <f>Table1[[#This Row],[Total FTE - Editorial]]+Table1[[#This Row],[Total FTE - Non-Editorial]]</f>
        <v>25</v>
      </c>
      <c r="AI43" s="72">
        <f>Table1[[#This Row],[FTE Salaried - Editorial]]+Table1[[#This Row],[FTE Contractors - Editorial]]</f>
        <v>18.5</v>
      </c>
      <c r="AJ43" s="56">
        <v>5.5</v>
      </c>
      <c r="AK43" s="56">
        <v>13</v>
      </c>
      <c r="AL43" s="57">
        <f>Table1[[#This Row],[FTE Salaried - Non-Editorial]]+Table1[[#This Row],[FTE Contractors - Non-Editorial]]</f>
        <v>6.5</v>
      </c>
      <c r="AM43" s="56">
        <v>5</v>
      </c>
      <c r="AN43" s="56">
        <v>1.5</v>
      </c>
      <c r="AO43" s="83" t="s">
        <v>342</v>
      </c>
      <c r="AP43" s="83" t="s">
        <v>406</v>
      </c>
      <c r="AQ43" s="73">
        <v>50000</v>
      </c>
      <c r="AR43" s="73">
        <v>10000</v>
      </c>
      <c r="AS43" s="73">
        <v>10000</v>
      </c>
      <c r="AT43" s="73">
        <v>1</v>
      </c>
      <c r="AU43" s="73">
        <v>0</v>
      </c>
      <c r="AV43" s="83" t="s">
        <v>406</v>
      </c>
      <c r="BC43" s="54"/>
      <c r="BD43" s="54"/>
      <c r="BE43" s="54"/>
      <c r="BF43" s="54"/>
      <c r="BG43" s="54"/>
      <c r="BI43" s="54"/>
      <c r="BK43" s="54"/>
      <c r="BL43" s="54"/>
      <c r="BM43" s="54"/>
      <c r="BN43" s="54"/>
      <c r="BO43" s="54"/>
      <c r="BP43" s="54"/>
      <c r="BS43" s="54"/>
      <c r="BT43" s="54"/>
      <c r="BU43" s="54"/>
      <c r="BV43" s="54"/>
      <c r="BW43" s="54"/>
    </row>
    <row r="44" spans="1:75" x14ac:dyDescent="0.25">
      <c r="A44" s="83" t="s">
        <v>482</v>
      </c>
      <c r="B44" s="83"/>
      <c r="C44" s="83" t="s">
        <v>7</v>
      </c>
      <c r="D44" s="83" t="s">
        <v>77</v>
      </c>
      <c r="E44" s="54" t="str">
        <f>_xlfn.CONCAT(Table1[[#This Row],[Geographic Scope]],": ",Table1[[#This Row],[Sub-Type/Focus]])</f>
        <v>Local: General</v>
      </c>
      <c r="F44" s="55">
        <f>Table1[[#This Row],[Total Contributed Income]]+Table1[[#This Row],[Total Earned Income]]</f>
        <v>59583</v>
      </c>
      <c r="G44" s="84">
        <f>IFERROR((Table1[[#This Row],[Cont. Income - Foundation]]+Table1[[#This Row],[Cont. Income - Membership]]+Table1[[#This Row],[Cont. Income - Small Donors]]+Table1[[#This Row],[Cont. Income - Med. Donors]]+Table1[[#This Row],[Cont. Income - Major Donors]]+Table1[[#This Row],[Cont. Income - Other]]),0)</f>
        <v>48583</v>
      </c>
      <c r="H44" s="84">
        <f>IFERROR((Table1[[#This Row],[Earned Income - Advertising]]+Table1[[#This Row],[Earned Income - Sponsorships/Underwriting]]+Table1[[#This Row],[Earned Income - Events]]+Table1[[#This Row],[Earned Income - Subscriptions]]+Table1[[#This Row],[Earned Income - Syndication]]+Table1[[#This Row],[Earned Income - Other TOTAL]]),0)</f>
        <v>11000</v>
      </c>
      <c r="I44" s="71">
        <v>16021</v>
      </c>
      <c r="J44" s="71">
        <v>0</v>
      </c>
      <c r="K44" s="71">
        <v>15746</v>
      </c>
      <c r="L44" s="71">
        <v>10579</v>
      </c>
      <c r="M44" s="71">
        <v>6237</v>
      </c>
      <c r="N44" s="71">
        <v>0</v>
      </c>
      <c r="O44" s="76" t="s">
        <v>406</v>
      </c>
      <c r="P44" s="71">
        <v>0</v>
      </c>
      <c r="Q44" s="71">
        <v>11000</v>
      </c>
      <c r="R44" s="71">
        <v>0</v>
      </c>
      <c r="S44" s="71">
        <v>0</v>
      </c>
      <c r="T44" s="71">
        <v>0</v>
      </c>
      <c r="U44" s="85">
        <f>IFERROR(Table1[[#This Row],[Earned Income - Training Fees]]+Table1[[#This Row],[Earned Income - Fees]]+Table1[[#This Row],[Earned Income - Investments]]+Table1[[#This Row],[Earned Income - Other]],0)</f>
        <v>0</v>
      </c>
      <c r="V44" s="71">
        <v>0</v>
      </c>
      <c r="W44" s="71">
        <v>0</v>
      </c>
      <c r="X44" s="83" t="s">
        <v>406</v>
      </c>
      <c r="Y44" s="71">
        <v>0</v>
      </c>
      <c r="Z44" s="71">
        <v>0</v>
      </c>
      <c r="AA44" s="83" t="s">
        <v>406</v>
      </c>
      <c r="AB44" s="85">
        <f t="shared" si="1"/>
        <v>37898</v>
      </c>
      <c r="AC44" s="71">
        <v>15113</v>
      </c>
      <c r="AD44" s="85">
        <f>SUM(Table1[[#This Row],[Expenses - Revenue Generation]:[Expenses - Admin]])</f>
        <v>22785</v>
      </c>
      <c r="AE44" s="71">
        <v>1093</v>
      </c>
      <c r="AF44" s="71">
        <v>1500</v>
      </c>
      <c r="AG44" s="71">
        <v>20192</v>
      </c>
      <c r="AH44" s="72">
        <f>Table1[[#This Row],[Total FTE - Editorial]]+Table1[[#This Row],[Total FTE - Non-Editorial]]</f>
        <v>1.5</v>
      </c>
      <c r="AI44" s="72">
        <f>Table1[[#This Row],[FTE Salaried - Editorial]]+Table1[[#This Row],[FTE Contractors - Editorial]]</f>
        <v>1</v>
      </c>
      <c r="AJ44" s="56">
        <v>0</v>
      </c>
      <c r="AK44" s="56">
        <v>1</v>
      </c>
      <c r="AL44" s="57">
        <f>Table1[[#This Row],[FTE Salaried - Non-Editorial]]+Table1[[#This Row],[FTE Contractors - Non-Editorial]]</f>
        <v>0.5</v>
      </c>
      <c r="AM44" s="56">
        <v>0.5</v>
      </c>
      <c r="AN44" s="56">
        <v>0</v>
      </c>
      <c r="AO44" s="83" t="s">
        <v>342</v>
      </c>
      <c r="AP44" s="83" t="s">
        <v>406</v>
      </c>
      <c r="AQ44" s="73">
        <v>42045</v>
      </c>
      <c r="AR44" s="73">
        <v>0</v>
      </c>
      <c r="AS44" s="73">
        <v>0</v>
      </c>
      <c r="AT44" s="73">
        <v>0</v>
      </c>
      <c r="AU44" s="73">
        <v>0</v>
      </c>
      <c r="AV44" s="83" t="s">
        <v>406</v>
      </c>
      <c r="BC44" s="54"/>
      <c r="BD44" s="54"/>
      <c r="BE44" s="54"/>
      <c r="BF44" s="54"/>
      <c r="BG44" s="54"/>
      <c r="BI44" s="54"/>
      <c r="BK44" s="54"/>
      <c r="BL44" s="54"/>
      <c r="BM44" s="54"/>
      <c r="BN44" s="54"/>
      <c r="BO44" s="54"/>
      <c r="BP44" s="54"/>
      <c r="BS44" s="54"/>
      <c r="BT44" s="54"/>
      <c r="BU44" s="54"/>
      <c r="BV44" s="54"/>
      <c r="BW44" s="54"/>
    </row>
    <row r="45" spans="1:75" x14ac:dyDescent="0.25">
      <c r="A45" s="83" t="s">
        <v>483</v>
      </c>
      <c r="B45" s="83"/>
      <c r="C45" s="83" t="s">
        <v>83</v>
      </c>
      <c r="D45" s="83" t="s">
        <v>78</v>
      </c>
      <c r="E45" s="54" t="str">
        <f>_xlfn.CONCAT(Table1[[#This Row],[Geographic Scope]],": ",Table1[[#This Row],[Sub-Type/Focus]])</f>
        <v>State: Multiple Related Topics</v>
      </c>
      <c r="F45" s="55">
        <f>Table1[[#This Row],[Total Contributed Income]]+Table1[[#This Row],[Total Earned Income]]</f>
        <v>66768</v>
      </c>
      <c r="G45" s="84">
        <f>IFERROR((Table1[[#This Row],[Cont. Income - Foundation]]+Table1[[#This Row],[Cont. Income - Membership]]+Table1[[#This Row],[Cont. Income - Small Donors]]+Table1[[#This Row],[Cont. Income - Med. Donors]]+Table1[[#This Row],[Cont. Income - Major Donors]]+Table1[[#This Row],[Cont. Income - Other]]),0)</f>
        <v>60937</v>
      </c>
      <c r="H45" s="84">
        <f>IFERROR((Table1[[#This Row],[Earned Income - Advertising]]+Table1[[#This Row],[Earned Income - Sponsorships/Underwriting]]+Table1[[#This Row],[Earned Income - Events]]+Table1[[#This Row],[Earned Income - Subscriptions]]+Table1[[#This Row],[Earned Income - Syndication]]+Table1[[#This Row],[Earned Income - Other TOTAL]]),0)</f>
        <v>5831</v>
      </c>
      <c r="I45" s="71">
        <v>27500</v>
      </c>
      <c r="J45" s="71">
        <v>0</v>
      </c>
      <c r="K45" s="71">
        <v>28437</v>
      </c>
      <c r="L45" s="71">
        <v>5000</v>
      </c>
      <c r="M45" s="71">
        <v>0</v>
      </c>
      <c r="N45" s="71">
        <v>0</v>
      </c>
      <c r="O45" s="76" t="s">
        <v>406</v>
      </c>
      <c r="P45" s="71">
        <v>2764</v>
      </c>
      <c r="Q45" s="71">
        <v>0</v>
      </c>
      <c r="R45" s="71">
        <v>0</v>
      </c>
      <c r="S45" s="71">
        <v>0</v>
      </c>
      <c r="T45" s="71">
        <v>0</v>
      </c>
      <c r="U45" s="85">
        <f>IFERROR(Table1[[#This Row],[Earned Income - Training Fees]]+Table1[[#This Row],[Earned Income - Fees]]+Table1[[#This Row],[Earned Income - Investments]]+Table1[[#This Row],[Earned Income - Other]],0)</f>
        <v>3067</v>
      </c>
      <c r="V45" s="71">
        <v>0</v>
      </c>
      <c r="W45" s="71">
        <v>3050</v>
      </c>
      <c r="X45" s="83" t="s">
        <v>484</v>
      </c>
      <c r="Y45" s="71">
        <v>17</v>
      </c>
      <c r="Z45" s="71">
        <v>0</v>
      </c>
      <c r="AA45" s="83" t="s">
        <v>406</v>
      </c>
      <c r="AB45" s="85">
        <f t="shared" si="1"/>
        <v>77014</v>
      </c>
      <c r="AC45" s="71">
        <v>50500</v>
      </c>
      <c r="AD45" s="85">
        <f>SUM(Table1[[#This Row],[Expenses - Revenue Generation]:[Expenses - Admin]])</f>
        <v>26514</v>
      </c>
      <c r="AE45" s="71">
        <v>9112</v>
      </c>
      <c r="AF45" s="71">
        <v>4002</v>
      </c>
      <c r="AG45" s="71">
        <v>13400</v>
      </c>
      <c r="AH45" s="72">
        <f>Table1[[#This Row],[Total FTE - Editorial]]+Table1[[#This Row],[Total FTE - Non-Editorial]]</f>
        <v>4</v>
      </c>
      <c r="AI45" s="72">
        <f>Table1[[#This Row],[FTE Salaried - Editorial]]+Table1[[#This Row],[FTE Contractors - Editorial]]</f>
        <v>4</v>
      </c>
      <c r="AJ45" s="56">
        <v>2</v>
      </c>
      <c r="AK45" s="56">
        <v>2</v>
      </c>
      <c r="AL45" s="57">
        <f>Table1[[#This Row],[FTE Salaried - Non-Editorial]]+Table1[[#This Row],[FTE Contractors - Non-Editorial]]</f>
        <v>0</v>
      </c>
      <c r="AM45" s="56">
        <v>0</v>
      </c>
      <c r="AN45" s="56">
        <v>0</v>
      </c>
      <c r="AO45" s="83" t="s">
        <v>342</v>
      </c>
      <c r="AP45" s="83" t="s">
        <v>406</v>
      </c>
      <c r="AQ45" s="73">
        <v>529000</v>
      </c>
      <c r="AR45" s="73">
        <v>7500</v>
      </c>
      <c r="AS45" s="73">
        <v>0</v>
      </c>
      <c r="AT45" s="73">
        <v>0</v>
      </c>
      <c r="AU45" s="73">
        <v>0</v>
      </c>
      <c r="AV45" s="83" t="s">
        <v>406</v>
      </c>
      <c r="BC45" s="54"/>
      <c r="BD45" s="54"/>
      <c r="BE45" s="54"/>
      <c r="BF45" s="54"/>
      <c r="BG45" s="54"/>
      <c r="BI45" s="54"/>
      <c r="BK45" s="54"/>
      <c r="BL45" s="54"/>
      <c r="BM45" s="54"/>
      <c r="BN45" s="54"/>
      <c r="BO45" s="54"/>
      <c r="BP45" s="54"/>
      <c r="BS45" s="54"/>
      <c r="BT45" s="54"/>
      <c r="BU45" s="54"/>
      <c r="BV45" s="54"/>
      <c r="BW45" s="54"/>
    </row>
    <row r="46" spans="1:75" x14ac:dyDescent="0.25">
      <c r="A46" s="83" t="s">
        <v>485</v>
      </c>
      <c r="B46" s="83"/>
      <c r="C46" s="83" t="s">
        <v>378</v>
      </c>
      <c r="D46" s="83" t="s">
        <v>78</v>
      </c>
      <c r="E46" s="54" t="str">
        <f>_xlfn.CONCAT(Table1[[#This Row],[Geographic Scope]],": ",Table1[[#This Row],[Sub-Type/Focus]])</f>
        <v>Regional: Multiple Related Topics</v>
      </c>
      <c r="F46" s="55">
        <f>Table1[[#This Row],[Total Contributed Income]]+Table1[[#This Row],[Total Earned Income]]</f>
        <v>217000</v>
      </c>
      <c r="G46" s="84">
        <f>IFERROR((Table1[[#This Row],[Cont. Income - Foundation]]+Table1[[#This Row],[Cont. Income - Membership]]+Table1[[#This Row],[Cont. Income - Small Donors]]+Table1[[#This Row],[Cont. Income - Med. Donors]]+Table1[[#This Row],[Cont. Income - Major Donors]]+Table1[[#This Row],[Cont. Income - Other]]),0)</f>
        <v>188500</v>
      </c>
      <c r="H46" s="84">
        <f>IFERROR((Table1[[#This Row],[Earned Income - Advertising]]+Table1[[#This Row],[Earned Income - Sponsorships/Underwriting]]+Table1[[#This Row],[Earned Income - Events]]+Table1[[#This Row],[Earned Income - Subscriptions]]+Table1[[#This Row],[Earned Income - Syndication]]+Table1[[#This Row],[Earned Income - Other TOTAL]]),0)</f>
        <v>28500</v>
      </c>
      <c r="I46" s="71">
        <v>175400</v>
      </c>
      <c r="J46" s="71">
        <v>0</v>
      </c>
      <c r="K46" s="71">
        <v>13100</v>
      </c>
      <c r="L46" s="71">
        <v>0</v>
      </c>
      <c r="M46" s="71">
        <v>0</v>
      </c>
      <c r="N46" s="71">
        <v>0</v>
      </c>
      <c r="O46" s="76" t="s">
        <v>406</v>
      </c>
      <c r="P46" s="71">
        <v>0</v>
      </c>
      <c r="Q46" s="71">
        <v>5000</v>
      </c>
      <c r="R46" s="71">
        <v>600</v>
      </c>
      <c r="S46" s="71">
        <v>0</v>
      </c>
      <c r="T46" s="71">
        <v>0</v>
      </c>
      <c r="U46" s="87">
        <f>IFERROR(Table1[[#This Row],[Earned Income - Training Fees]]+Table1[[#This Row],[Earned Income - Fees]]+Table1[[#This Row],[Earned Income - Investments]]+Table1[[#This Row],[Earned Income - Other]],0)</f>
        <v>22900</v>
      </c>
      <c r="V46" s="71">
        <v>0</v>
      </c>
      <c r="W46" s="71">
        <v>2900</v>
      </c>
      <c r="X46" s="83" t="s">
        <v>486</v>
      </c>
      <c r="Y46" s="71">
        <v>0</v>
      </c>
      <c r="Z46" s="71">
        <v>20000</v>
      </c>
      <c r="AA46" s="83" t="s">
        <v>487</v>
      </c>
      <c r="AB46" s="85">
        <f t="shared" si="1"/>
        <v>238010</v>
      </c>
      <c r="AC46" s="71">
        <v>159300</v>
      </c>
      <c r="AD46" s="85">
        <f>SUM(Table1[[#This Row],[Expenses - Revenue Generation]:[Expenses - Admin]])</f>
        <v>78710</v>
      </c>
      <c r="AE46" s="71">
        <v>16810</v>
      </c>
      <c r="AF46" s="71">
        <v>8700</v>
      </c>
      <c r="AG46" s="71">
        <v>53200</v>
      </c>
      <c r="AH46" s="72">
        <f>Table1[[#This Row],[Total FTE - Editorial]]+Table1[[#This Row],[Total FTE - Non-Editorial]]</f>
        <v>4</v>
      </c>
      <c r="AI46" s="72">
        <f>Table1[[#This Row],[FTE Salaried - Editorial]]+Table1[[#This Row],[FTE Contractors - Editorial]]</f>
        <v>4</v>
      </c>
      <c r="AJ46" s="56">
        <v>0</v>
      </c>
      <c r="AK46" s="56">
        <v>4</v>
      </c>
      <c r="AL46" s="57">
        <f>Table1[[#This Row],[FTE Salaried - Non-Editorial]]+Table1[[#This Row],[FTE Contractors - Non-Editorial]]</f>
        <v>0</v>
      </c>
      <c r="AM46" s="56">
        <v>0</v>
      </c>
      <c r="AN46" s="56">
        <v>0</v>
      </c>
      <c r="AO46" s="83" t="s">
        <v>342</v>
      </c>
      <c r="AP46" s="83" t="s">
        <v>406</v>
      </c>
      <c r="AQ46" s="73">
        <v>5500</v>
      </c>
      <c r="AR46" s="73">
        <v>1600</v>
      </c>
      <c r="AS46" s="73">
        <v>0</v>
      </c>
      <c r="AT46" s="73">
        <v>0</v>
      </c>
      <c r="AU46" s="73">
        <v>0</v>
      </c>
      <c r="AV46" s="83" t="s">
        <v>406</v>
      </c>
      <c r="BC46" s="54"/>
      <c r="BD46" s="54"/>
      <c r="BE46" s="54"/>
      <c r="BF46" s="54"/>
      <c r="BG46" s="54"/>
      <c r="BI46" s="54"/>
      <c r="BK46" s="54"/>
      <c r="BL46" s="54"/>
      <c r="BM46" s="54"/>
      <c r="BN46" s="54"/>
      <c r="BO46" s="54"/>
      <c r="BP46" s="54"/>
      <c r="BS46" s="54"/>
      <c r="BT46" s="54"/>
      <c r="BU46" s="54"/>
      <c r="BV46" s="54"/>
      <c r="BW46" s="54"/>
    </row>
    <row r="47" spans="1:75" x14ac:dyDescent="0.25">
      <c r="A47" s="83" t="s">
        <v>488</v>
      </c>
      <c r="B47" s="83"/>
      <c r="C47" s="83" t="s">
        <v>83</v>
      </c>
      <c r="D47" s="83" t="s">
        <v>78</v>
      </c>
      <c r="E47" s="54" t="str">
        <f>_xlfn.CONCAT(Table1[[#This Row],[Geographic Scope]],": ",Table1[[#This Row],[Sub-Type/Focus]])</f>
        <v>State: Multiple Related Topics</v>
      </c>
      <c r="F47" s="55">
        <f>Table1[[#This Row],[Total Contributed Income]]+Table1[[#This Row],[Total Earned Income]]</f>
        <v>1454911</v>
      </c>
      <c r="G47" s="84">
        <f>IFERROR((Table1[[#This Row],[Cont. Income - Foundation]]+Table1[[#This Row],[Cont. Income - Membership]]+Table1[[#This Row],[Cont. Income - Small Donors]]+Table1[[#This Row],[Cont. Income - Med. Donors]]+Table1[[#This Row],[Cont. Income - Major Donors]]+Table1[[#This Row],[Cont. Income - Other]]),0)</f>
        <v>864716</v>
      </c>
      <c r="H47" s="84">
        <f>IFERROR((Table1[[#This Row],[Earned Income - Advertising]]+Table1[[#This Row],[Earned Income - Sponsorships/Underwriting]]+Table1[[#This Row],[Earned Income - Events]]+Table1[[#This Row],[Earned Income - Subscriptions]]+Table1[[#This Row],[Earned Income - Syndication]]+Table1[[#This Row],[Earned Income - Other TOTAL]]),0)</f>
        <v>590195</v>
      </c>
      <c r="I47" s="71">
        <v>450418</v>
      </c>
      <c r="J47" s="71">
        <v>0</v>
      </c>
      <c r="K47" s="71">
        <v>414298</v>
      </c>
      <c r="L47" s="71">
        <v>0</v>
      </c>
      <c r="M47" s="71">
        <v>0</v>
      </c>
      <c r="N47" s="71">
        <v>0</v>
      </c>
      <c r="O47" s="76" t="s">
        <v>406</v>
      </c>
      <c r="P47" s="71">
        <v>275483</v>
      </c>
      <c r="Q47" s="71">
        <v>60283</v>
      </c>
      <c r="R47" s="71">
        <v>240295</v>
      </c>
      <c r="S47" s="71">
        <v>0</v>
      </c>
      <c r="T47" s="71">
        <v>0</v>
      </c>
      <c r="U47" s="85">
        <f>IFERROR(Table1[[#This Row],[Earned Income - Training Fees]]+Table1[[#This Row],[Earned Income - Fees]]+Table1[[#This Row],[Earned Income - Investments]]+Table1[[#This Row],[Earned Income - Other]],0)</f>
        <v>14134</v>
      </c>
      <c r="V47" s="71">
        <v>0</v>
      </c>
      <c r="W47" s="71">
        <v>0</v>
      </c>
      <c r="X47" s="83" t="s">
        <v>406</v>
      </c>
      <c r="Y47" s="71">
        <v>6900</v>
      </c>
      <c r="Z47" s="71">
        <v>7234</v>
      </c>
      <c r="AA47" s="83" t="s">
        <v>406</v>
      </c>
      <c r="AB47" s="85">
        <f t="shared" si="1"/>
        <v>2103976</v>
      </c>
      <c r="AC47" s="71">
        <v>1045980</v>
      </c>
      <c r="AD47" s="85">
        <f>SUM(Table1[[#This Row],[Expenses - Revenue Generation]:[Expenses - Admin]])</f>
        <v>1057996</v>
      </c>
      <c r="AE47" s="71">
        <v>656045</v>
      </c>
      <c r="AF47" s="71">
        <v>11212</v>
      </c>
      <c r="AG47" s="71">
        <v>390739</v>
      </c>
      <c r="AH47" s="72">
        <f>Table1[[#This Row],[Total FTE - Editorial]]+Table1[[#This Row],[Total FTE - Non-Editorial]]</f>
        <v>20</v>
      </c>
      <c r="AI47" s="72">
        <f>Table1[[#This Row],[FTE Salaried - Editorial]]+Table1[[#This Row],[FTE Contractors - Editorial]]</f>
        <v>12</v>
      </c>
      <c r="AJ47" s="56">
        <v>10</v>
      </c>
      <c r="AK47" s="56">
        <v>2</v>
      </c>
      <c r="AL47" s="57">
        <f>Table1[[#This Row],[FTE Salaried - Non-Editorial]]+Table1[[#This Row],[FTE Contractors - Non-Editorial]]</f>
        <v>8</v>
      </c>
      <c r="AM47" s="56">
        <v>8</v>
      </c>
      <c r="AN47" s="56">
        <v>0</v>
      </c>
      <c r="AO47" s="83" t="s">
        <v>342</v>
      </c>
      <c r="AP47" s="83" t="s">
        <v>406</v>
      </c>
      <c r="AQ47" s="73" t="s">
        <v>406</v>
      </c>
      <c r="AR47" s="73">
        <v>0</v>
      </c>
      <c r="AS47" s="73">
        <v>0</v>
      </c>
      <c r="AT47" s="73">
        <v>0</v>
      </c>
      <c r="AU47" s="73">
        <v>0</v>
      </c>
      <c r="AV47" s="83" t="s">
        <v>406</v>
      </c>
      <c r="BC47" s="54"/>
      <c r="BD47" s="54"/>
      <c r="BE47" s="54"/>
      <c r="BF47" s="54"/>
      <c r="BG47" s="54"/>
      <c r="BI47" s="54"/>
      <c r="BK47" s="54"/>
      <c r="BL47" s="54"/>
      <c r="BM47" s="54"/>
      <c r="BN47" s="54"/>
      <c r="BO47" s="54"/>
      <c r="BP47" s="54"/>
      <c r="BS47" s="54"/>
      <c r="BT47" s="54"/>
      <c r="BU47" s="54"/>
      <c r="BV47" s="54"/>
      <c r="BW47" s="54"/>
    </row>
    <row r="48" spans="1:75" x14ac:dyDescent="0.25">
      <c r="A48" s="83" t="s">
        <v>489</v>
      </c>
      <c r="B48" s="83"/>
      <c r="C48" s="80" t="s">
        <v>7</v>
      </c>
      <c r="D48" s="83" t="s">
        <v>77</v>
      </c>
      <c r="E48" s="54" t="str">
        <f>_xlfn.CONCAT(Table1[[#This Row],[Geographic Scope]],": ",Table1[[#This Row],[Sub-Type/Focus]])</f>
        <v>Local: General</v>
      </c>
      <c r="F48" s="55">
        <f>Table1[[#This Row],[Total Contributed Income]]+Table1[[#This Row],[Total Earned Income]]</f>
        <v>228649</v>
      </c>
      <c r="G48" s="84">
        <f>IFERROR((Table1[[#This Row],[Cont. Income - Foundation]]+Table1[[#This Row],[Cont. Income - Membership]]+Table1[[#This Row],[Cont. Income - Small Donors]]+Table1[[#This Row],[Cont. Income - Med. Donors]]+Table1[[#This Row],[Cont. Income - Major Donors]]+Table1[[#This Row],[Cont. Income - Other]]),0)</f>
        <v>189649</v>
      </c>
      <c r="H48" s="84">
        <f>IFERROR((Table1[[#This Row],[Earned Income - Advertising]]+Table1[[#This Row],[Earned Income - Sponsorships/Underwriting]]+Table1[[#This Row],[Earned Income - Events]]+Table1[[#This Row],[Earned Income - Subscriptions]]+Table1[[#This Row],[Earned Income - Syndication]]+Table1[[#This Row],[Earned Income - Other TOTAL]]),0)</f>
        <v>39000</v>
      </c>
      <c r="I48" s="71">
        <v>55000</v>
      </c>
      <c r="J48" s="71">
        <v>0</v>
      </c>
      <c r="K48" s="71">
        <v>37669</v>
      </c>
      <c r="L48" s="71">
        <v>16980</v>
      </c>
      <c r="M48" s="71">
        <v>10000</v>
      </c>
      <c r="N48" s="71">
        <v>70000</v>
      </c>
      <c r="O48" s="76" t="s">
        <v>490</v>
      </c>
      <c r="P48" s="71">
        <v>39000</v>
      </c>
      <c r="Q48" s="71">
        <v>0</v>
      </c>
      <c r="R48" s="71">
        <v>0</v>
      </c>
      <c r="S48" s="71">
        <v>0</v>
      </c>
      <c r="T48" s="71">
        <v>0</v>
      </c>
      <c r="U48" s="85">
        <f>IFERROR(Table1[[#This Row],[Earned Income - Training Fees]]+Table1[[#This Row],[Earned Income - Fees]]+Table1[[#This Row],[Earned Income - Investments]]+Table1[[#This Row],[Earned Income - Other]],0)</f>
        <v>0</v>
      </c>
      <c r="V48" s="71">
        <v>0</v>
      </c>
      <c r="W48" s="71">
        <v>0</v>
      </c>
      <c r="X48" s="83" t="s">
        <v>406</v>
      </c>
      <c r="Y48" s="71">
        <v>0</v>
      </c>
      <c r="Z48" s="71">
        <v>0</v>
      </c>
      <c r="AA48" s="83" t="s">
        <v>406</v>
      </c>
      <c r="AB48" s="85">
        <f t="shared" si="1"/>
        <v>262349</v>
      </c>
      <c r="AC48" s="71">
        <v>192613</v>
      </c>
      <c r="AD48" s="85">
        <f>SUM(Table1[[#This Row],[Expenses - Revenue Generation]:[Expenses - Admin]])</f>
        <v>69736</v>
      </c>
      <c r="AE48" s="71">
        <v>17223</v>
      </c>
      <c r="AF48" s="71">
        <v>17513</v>
      </c>
      <c r="AG48" s="71">
        <v>35000</v>
      </c>
      <c r="AH48" s="72">
        <f>Table1[[#This Row],[Total FTE - Editorial]]+Table1[[#This Row],[Total FTE - Non-Editorial]]</f>
        <v>4</v>
      </c>
      <c r="AI48" s="72">
        <f>Table1[[#This Row],[FTE Salaried - Editorial]]+Table1[[#This Row],[FTE Contractors - Editorial]]</f>
        <v>4</v>
      </c>
      <c r="AJ48" s="56">
        <v>4</v>
      </c>
      <c r="AK48" s="56">
        <v>0</v>
      </c>
      <c r="AL48" s="57">
        <f>Table1[[#This Row],[FTE Salaried - Non-Editorial]]+Table1[[#This Row],[FTE Contractors - Non-Editorial]]</f>
        <v>0</v>
      </c>
      <c r="AM48" s="56">
        <v>0</v>
      </c>
      <c r="AN48" s="56">
        <v>0</v>
      </c>
      <c r="AO48" s="83" t="s">
        <v>342</v>
      </c>
      <c r="AP48" s="83" t="s">
        <v>406</v>
      </c>
      <c r="AQ48" s="73">
        <v>173000</v>
      </c>
      <c r="AR48" s="73">
        <v>5548</v>
      </c>
      <c r="AS48" s="73">
        <v>0</v>
      </c>
      <c r="AT48" s="73">
        <v>0</v>
      </c>
      <c r="AU48" s="73">
        <v>0</v>
      </c>
      <c r="AV48" s="83" t="s">
        <v>406</v>
      </c>
      <c r="BC48" s="54"/>
      <c r="BD48" s="54"/>
      <c r="BE48" s="54"/>
      <c r="BF48" s="54"/>
      <c r="BG48" s="54"/>
      <c r="BI48" s="54"/>
      <c r="BK48" s="54"/>
      <c r="BL48" s="54"/>
      <c r="BM48" s="54"/>
      <c r="BN48" s="54"/>
      <c r="BO48" s="54"/>
      <c r="BP48" s="54"/>
      <c r="BS48" s="54"/>
      <c r="BT48" s="54"/>
      <c r="BU48" s="54"/>
      <c r="BV48" s="54"/>
      <c r="BW48" s="54"/>
    </row>
    <row r="49" spans="1:75" x14ac:dyDescent="0.25">
      <c r="A49" s="83" t="s">
        <v>491</v>
      </c>
      <c r="B49" s="83"/>
      <c r="C49" s="83" t="s">
        <v>83</v>
      </c>
      <c r="D49" s="83" t="s">
        <v>78</v>
      </c>
      <c r="E49" s="54" t="str">
        <f>_xlfn.CONCAT(Table1[[#This Row],[Geographic Scope]],": ",Table1[[#This Row],[Sub-Type/Focus]])</f>
        <v>State: Multiple Related Topics</v>
      </c>
      <c r="F49" s="55">
        <f>Table1[[#This Row],[Total Contributed Income]]+Table1[[#This Row],[Total Earned Income]]</f>
        <v>1564005</v>
      </c>
      <c r="G49" s="84">
        <f>IFERROR((Table1[[#This Row],[Cont. Income - Foundation]]+Table1[[#This Row],[Cont. Income - Membership]]+Table1[[#This Row],[Cont. Income - Small Donors]]+Table1[[#This Row],[Cont. Income - Med. Donors]]+Table1[[#This Row],[Cont. Income - Major Donors]]+Table1[[#This Row],[Cont. Income - Other]]),0)</f>
        <v>1545732</v>
      </c>
      <c r="H49" s="84">
        <f>IFERROR((Table1[[#This Row],[Earned Income - Advertising]]+Table1[[#This Row],[Earned Income - Sponsorships/Underwriting]]+Table1[[#This Row],[Earned Income - Events]]+Table1[[#This Row],[Earned Income - Subscriptions]]+Table1[[#This Row],[Earned Income - Syndication]]+Table1[[#This Row],[Earned Income - Other TOTAL]]),0)</f>
        <v>18273</v>
      </c>
      <c r="I49" s="71">
        <v>322838</v>
      </c>
      <c r="J49" s="71">
        <v>0</v>
      </c>
      <c r="K49" s="71">
        <v>77312</v>
      </c>
      <c r="L49" s="71">
        <v>30285</v>
      </c>
      <c r="M49" s="71">
        <v>1115297</v>
      </c>
      <c r="N49" s="71">
        <v>0</v>
      </c>
      <c r="O49" s="76" t="s">
        <v>492</v>
      </c>
      <c r="P49" s="71">
        <v>10807</v>
      </c>
      <c r="Q49" s="71">
        <v>0</v>
      </c>
      <c r="R49" s="71">
        <v>7063</v>
      </c>
      <c r="S49" s="71">
        <v>0</v>
      </c>
      <c r="T49" s="71">
        <v>0</v>
      </c>
      <c r="U49" s="85">
        <f>IFERROR(Table1[[#This Row],[Earned Income - Training Fees]]+Table1[[#This Row],[Earned Income - Fees]]+Table1[[#This Row],[Earned Income - Investments]]+Table1[[#This Row],[Earned Income - Other]],0)</f>
        <v>403</v>
      </c>
      <c r="V49" s="71">
        <v>0</v>
      </c>
      <c r="W49" s="71">
        <v>333</v>
      </c>
      <c r="X49" s="83" t="s">
        <v>493</v>
      </c>
      <c r="Y49" s="71">
        <v>70</v>
      </c>
      <c r="Z49" s="71">
        <v>0</v>
      </c>
      <c r="AA49" s="83" t="s">
        <v>406</v>
      </c>
      <c r="AB49" s="85">
        <f t="shared" si="1"/>
        <v>1987277</v>
      </c>
      <c r="AC49" s="71">
        <v>1444013</v>
      </c>
      <c r="AD49" s="85">
        <f>SUM(Table1[[#This Row],[Expenses - Revenue Generation]:[Expenses - Admin]])</f>
        <v>543264</v>
      </c>
      <c r="AE49" s="71">
        <v>186131</v>
      </c>
      <c r="AF49" s="71">
        <v>86996</v>
      </c>
      <c r="AG49" s="71">
        <v>270137</v>
      </c>
      <c r="AH49" s="72">
        <f>Table1[[#This Row],[Total FTE - Editorial]]+Table1[[#This Row],[Total FTE - Non-Editorial]]</f>
        <v>20</v>
      </c>
      <c r="AI49" s="72">
        <f>Table1[[#This Row],[FTE Salaried - Editorial]]+Table1[[#This Row],[FTE Contractors - Editorial]]</f>
        <v>15</v>
      </c>
      <c r="AJ49" s="56">
        <v>14</v>
      </c>
      <c r="AK49" s="56">
        <v>1</v>
      </c>
      <c r="AL49" s="57">
        <f>Table1[[#This Row],[FTE Salaried - Non-Editorial]]+Table1[[#This Row],[FTE Contractors - Non-Editorial]]</f>
        <v>5</v>
      </c>
      <c r="AM49" s="56">
        <v>5</v>
      </c>
      <c r="AN49" s="56">
        <v>0</v>
      </c>
      <c r="AO49" s="83" t="s">
        <v>342</v>
      </c>
      <c r="AP49" s="83" t="s">
        <v>406</v>
      </c>
      <c r="AQ49" s="73">
        <v>221000</v>
      </c>
      <c r="AR49" s="73">
        <v>12741</v>
      </c>
      <c r="AS49" s="73">
        <v>0</v>
      </c>
      <c r="AT49" s="73">
        <v>0</v>
      </c>
      <c r="AU49" s="73">
        <v>0</v>
      </c>
      <c r="AV49" s="83" t="s">
        <v>406</v>
      </c>
      <c r="BC49" s="54"/>
      <c r="BD49" s="54"/>
      <c r="BE49" s="54"/>
      <c r="BF49" s="54"/>
      <c r="BG49" s="54"/>
      <c r="BI49" s="54"/>
      <c r="BK49" s="54"/>
      <c r="BL49" s="54"/>
      <c r="BM49" s="54"/>
      <c r="BN49" s="54"/>
      <c r="BO49" s="54"/>
      <c r="BP49" s="54"/>
      <c r="BS49" s="54"/>
      <c r="BT49" s="54"/>
      <c r="BU49" s="54"/>
      <c r="BV49" s="54"/>
      <c r="BW49" s="54"/>
    </row>
    <row r="50" spans="1:75" x14ac:dyDescent="0.25">
      <c r="A50" s="80" t="s">
        <v>494</v>
      </c>
      <c r="B50" s="80"/>
      <c r="C50" s="80" t="s">
        <v>7</v>
      </c>
      <c r="D50" s="80" t="s">
        <v>78</v>
      </c>
      <c r="E50" s="57" t="str">
        <f>_xlfn.CONCAT(Table1[[#This Row],[Geographic Scope]],": ",Table1[[#This Row],[Sub-Type/Focus]])</f>
        <v>Local: Multiple Related Topics</v>
      </c>
      <c r="F50" s="68">
        <f>Table1[[#This Row],[Total Contributed Income]]+Table1[[#This Row],[Total Earned Income]]</f>
        <v>0</v>
      </c>
      <c r="G50" s="86">
        <f>IFERROR((Table1[[#This Row],[Cont. Income - Foundation]]+Table1[[#This Row],[Cont. Income - Membership]]+Table1[[#This Row],[Cont. Income - Small Donors]]+Table1[[#This Row],[Cont. Income - Med. Donors]]+Table1[[#This Row],[Cont. Income - Major Donors]]+Table1[[#This Row],[Cont. Income - Other]]),0)</f>
        <v>0</v>
      </c>
      <c r="H50" s="86">
        <f>IFERROR((Table1[[#This Row],[Earned Income - Advertising]]+Table1[[#This Row],[Earned Income - Sponsorships/Underwriting]]+Table1[[#This Row],[Earned Income - Events]]+Table1[[#This Row],[Earned Income - Subscriptions]]+Table1[[#This Row],[Earned Income - Syndication]]+Table1[[#This Row],[Earned Income - Other TOTAL]]),0)</f>
        <v>0</v>
      </c>
      <c r="I50" s="71" t="s">
        <v>406</v>
      </c>
      <c r="J50" s="71" t="s">
        <v>406</v>
      </c>
      <c r="K50" s="71" t="s">
        <v>406</v>
      </c>
      <c r="L50" s="71" t="s">
        <v>406</v>
      </c>
      <c r="M50" s="71" t="s">
        <v>406</v>
      </c>
      <c r="N50" s="71" t="s">
        <v>406</v>
      </c>
      <c r="O50" s="76" t="s">
        <v>406</v>
      </c>
      <c r="P50" s="71" t="s">
        <v>406</v>
      </c>
      <c r="Q50" s="71" t="s">
        <v>406</v>
      </c>
      <c r="R50" s="71" t="s">
        <v>406</v>
      </c>
      <c r="S50" s="71" t="s">
        <v>406</v>
      </c>
      <c r="T50" s="71" t="s">
        <v>406</v>
      </c>
      <c r="U50" s="82">
        <f>IFERROR(Table1[[#This Row],[Earned Income - Training Fees]]+Table1[[#This Row],[Earned Income - Fees]]+Table1[[#This Row],[Earned Income - Investments]]+Table1[[#This Row],[Earned Income - Other]],0)</f>
        <v>0</v>
      </c>
      <c r="V50" s="71" t="s">
        <v>406</v>
      </c>
      <c r="W50" s="71" t="s">
        <v>406</v>
      </c>
      <c r="X50" s="80" t="s">
        <v>406</v>
      </c>
      <c r="Y50" s="71" t="s">
        <v>406</v>
      </c>
      <c r="Z50" s="71" t="s">
        <v>406</v>
      </c>
      <c r="AA50" s="80" t="s">
        <v>406</v>
      </c>
      <c r="AB50" s="82">
        <f t="shared" si="1"/>
        <v>0</v>
      </c>
      <c r="AC50" s="71" t="s">
        <v>406</v>
      </c>
      <c r="AD50" s="82">
        <f>SUM(Table1[[#This Row],[Expenses - Revenue Generation]:[Expenses - Admin]])</f>
        <v>0</v>
      </c>
      <c r="AE50" s="71" t="s">
        <v>406</v>
      </c>
      <c r="AF50" s="71" t="s">
        <v>406</v>
      </c>
      <c r="AG50" s="71" t="s">
        <v>406</v>
      </c>
      <c r="AH50" s="72">
        <f>Table1[[#This Row],[Total FTE - Editorial]]+Table1[[#This Row],[Total FTE - Non-Editorial]]</f>
        <v>1.8</v>
      </c>
      <c r="AI50" s="72">
        <f>Table1[[#This Row],[FTE Salaried - Editorial]]+Table1[[#This Row],[FTE Contractors - Editorial]]</f>
        <v>1.8</v>
      </c>
      <c r="AJ50" s="56">
        <v>0</v>
      </c>
      <c r="AK50" s="56">
        <v>1.8</v>
      </c>
      <c r="AL50" s="57">
        <f>Table1[[#This Row],[FTE Salaried - Non-Editorial]]+Table1[[#This Row],[FTE Contractors - Non-Editorial]]</f>
        <v>0</v>
      </c>
      <c r="AM50" s="56">
        <v>0</v>
      </c>
      <c r="AN50" s="56">
        <v>0</v>
      </c>
      <c r="AO50" s="80"/>
      <c r="AP50" s="80" t="s">
        <v>406</v>
      </c>
      <c r="AQ50" s="73" t="s">
        <v>406</v>
      </c>
      <c r="AR50" s="73" t="s">
        <v>406</v>
      </c>
      <c r="AS50" s="73" t="s">
        <v>406</v>
      </c>
      <c r="AT50" s="73" t="s">
        <v>406</v>
      </c>
      <c r="AU50" s="73" t="s">
        <v>406</v>
      </c>
      <c r="AV50" s="80" t="s">
        <v>406</v>
      </c>
      <c r="BC50" s="54"/>
      <c r="BD50" s="54"/>
      <c r="BE50" s="54"/>
      <c r="BF50" s="54"/>
      <c r="BG50" s="54"/>
      <c r="BI50" s="54"/>
      <c r="BK50" s="54"/>
      <c r="BL50" s="54"/>
      <c r="BM50" s="54"/>
      <c r="BN50" s="54"/>
      <c r="BO50" s="54"/>
      <c r="BP50" s="54"/>
      <c r="BS50" s="54"/>
      <c r="BT50" s="54"/>
      <c r="BU50" s="54"/>
      <c r="BV50" s="54"/>
      <c r="BW50" s="54"/>
    </row>
    <row r="51" spans="1:75" x14ac:dyDescent="0.25">
      <c r="A51" s="83" t="s">
        <v>495</v>
      </c>
      <c r="B51" s="83"/>
      <c r="C51" s="83" t="s">
        <v>83</v>
      </c>
      <c r="D51" s="83" t="s">
        <v>78</v>
      </c>
      <c r="E51" s="54" t="str">
        <f>_xlfn.CONCAT(Table1[[#This Row],[Geographic Scope]],": ",Table1[[#This Row],[Sub-Type/Focus]])</f>
        <v>State: Multiple Related Topics</v>
      </c>
      <c r="F51" s="55">
        <f>Table1[[#This Row],[Total Contributed Income]]+Table1[[#This Row],[Total Earned Income]]</f>
        <v>286979</v>
      </c>
      <c r="G51" s="84">
        <f>IFERROR((Table1[[#This Row],[Cont. Income - Foundation]]+Table1[[#This Row],[Cont. Income - Membership]]+Table1[[#This Row],[Cont. Income - Small Donors]]+Table1[[#This Row],[Cont. Income - Med. Donors]]+Table1[[#This Row],[Cont. Income - Major Donors]]+Table1[[#This Row],[Cont. Income - Other]]),0)</f>
        <v>286979</v>
      </c>
      <c r="H51" s="84">
        <f>IFERROR((Table1[[#This Row],[Earned Income - Advertising]]+Table1[[#This Row],[Earned Income - Sponsorships/Underwriting]]+Table1[[#This Row],[Earned Income - Events]]+Table1[[#This Row],[Earned Income - Subscriptions]]+Table1[[#This Row],[Earned Income - Syndication]]+Table1[[#This Row],[Earned Income - Other TOTAL]]),0)</f>
        <v>0</v>
      </c>
      <c r="I51" s="71">
        <v>61000</v>
      </c>
      <c r="J51" s="71">
        <v>0</v>
      </c>
      <c r="K51" s="71">
        <v>53974</v>
      </c>
      <c r="L51" s="71">
        <v>17005</v>
      </c>
      <c r="M51" s="71">
        <v>155000</v>
      </c>
      <c r="N51" s="71">
        <v>0</v>
      </c>
      <c r="O51" s="76" t="s">
        <v>406</v>
      </c>
      <c r="P51" s="71">
        <v>0</v>
      </c>
      <c r="Q51" s="71">
        <v>0</v>
      </c>
      <c r="R51" s="71">
        <v>0</v>
      </c>
      <c r="S51" s="71">
        <v>0</v>
      </c>
      <c r="T51" s="71">
        <v>0</v>
      </c>
      <c r="U51" s="85">
        <f>IFERROR(Table1[[#This Row],[Earned Income - Training Fees]]+Table1[[#This Row],[Earned Income - Fees]]+Table1[[#This Row],[Earned Income - Investments]]+Table1[[#This Row],[Earned Income - Other]],0)</f>
        <v>0</v>
      </c>
      <c r="V51" s="71">
        <v>0</v>
      </c>
      <c r="W51" s="71">
        <v>0</v>
      </c>
      <c r="X51" s="83" t="s">
        <v>406</v>
      </c>
      <c r="Y51" s="71">
        <v>0</v>
      </c>
      <c r="Z51" s="71">
        <v>0</v>
      </c>
      <c r="AA51" s="83" t="s">
        <v>406</v>
      </c>
      <c r="AB51" s="85">
        <f t="shared" si="1"/>
        <v>274500</v>
      </c>
      <c r="AC51" s="71">
        <v>160000</v>
      </c>
      <c r="AD51" s="85">
        <f>SUM(Table1[[#This Row],[Expenses - Revenue Generation]:[Expenses - Admin]])</f>
        <v>114500</v>
      </c>
      <c r="AE51" s="71">
        <v>15000</v>
      </c>
      <c r="AF51" s="71">
        <v>8500</v>
      </c>
      <c r="AG51" s="71">
        <v>91000</v>
      </c>
      <c r="AH51" s="72">
        <f>Table1[[#This Row],[Total FTE - Editorial]]+Table1[[#This Row],[Total FTE - Non-Editorial]]</f>
        <v>3.75</v>
      </c>
      <c r="AI51" s="72">
        <f>Table1[[#This Row],[FTE Salaried - Editorial]]+Table1[[#This Row],[FTE Contractors - Editorial]]</f>
        <v>2.5</v>
      </c>
      <c r="AJ51" s="56">
        <v>2.25</v>
      </c>
      <c r="AK51" s="56">
        <v>0.25</v>
      </c>
      <c r="AL51" s="57">
        <f>Table1[[#This Row],[FTE Salaried - Non-Editorial]]+Table1[[#This Row],[FTE Contractors - Non-Editorial]]</f>
        <v>1.25</v>
      </c>
      <c r="AM51" s="56">
        <v>0.75</v>
      </c>
      <c r="AN51" s="56">
        <v>0.5</v>
      </c>
      <c r="AO51" s="83" t="s">
        <v>342</v>
      </c>
      <c r="AP51" s="83" t="s">
        <v>406</v>
      </c>
      <c r="AQ51" s="73">
        <v>9000</v>
      </c>
      <c r="AR51" s="73">
        <v>3800</v>
      </c>
      <c r="AS51" s="73">
        <v>0</v>
      </c>
      <c r="AT51" s="73">
        <v>0</v>
      </c>
      <c r="AU51" s="73">
        <v>3000</v>
      </c>
      <c r="AV51" s="83" t="s">
        <v>496</v>
      </c>
      <c r="BC51" s="54"/>
      <c r="BD51" s="54"/>
      <c r="BE51" s="54"/>
      <c r="BF51" s="54"/>
      <c r="BG51" s="54"/>
      <c r="BI51" s="54"/>
      <c r="BK51" s="54"/>
      <c r="BL51" s="54"/>
      <c r="BM51" s="54"/>
      <c r="BN51" s="54"/>
      <c r="BO51" s="54"/>
      <c r="BP51" s="54"/>
      <c r="BS51" s="54"/>
      <c r="BT51" s="54"/>
      <c r="BU51" s="54"/>
      <c r="BV51" s="54"/>
      <c r="BW51" s="54"/>
    </row>
    <row r="52" spans="1:75" x14ac:dyDescent="0.25">
      <c r="A52" s="83" t="s">
        <v>497</v>
      </c>
      <c r="B52" s="83"/>
      <c r="C52" s="83" t="s">
        <v>6</v>
      </c>
      <c r="D52" s="83" t="s">
        <v>78</v>
      </c>
      <c r="E52" s="54" t="str">
        <f>_xlfn.CONCAT(Table1[[#This Row],[Geographic Scope]],": ",Table1[[#This Row],[Sub-Type/Focus]])</f>
        <v>National: Multiple Related Topics</v>
      </c>
      <c r="F52" s="55">
        <f>Table1[[#This Row],[Total Contributed Income]]+Table1[[#This Row],[Total Earned Income]]</f>
        <v>674046.26</v>
      </c>
      <c r="G52" s="84">
        <f>IFERROR((Table1[[#This Row],[Cont. Income - Foundation]]+Table1[[#This Row],[Cont. Income - Membership]]+Table1[[#This Row],[Cont. Income - Small Donors]]+Table1[[#This Row],[Cont. Income - Med. Donors]]+Table1[[#This Row],[Cont. Income - Major Donors]]+Table1[[#This Row],[Cont. Income - Other]]),0)</f>
        <v>502311</v>
      </c>
      <c r="H52" s="84">
        <f>IFERROR((Table1[[#This Row],[Earned Income - Advertising]]+Table1[[#This Row],[Earned Income - Sponsorships/Underwriting]]+Table1[[#This Row],[Earned Income - Events]]+Table1[[#This Row],[Earned Income - Subscriptions]]+Table1[[#This Row],[Earned Income - Syndication]]+Table1[[#This Row],[Earned Income - Other TOTAL]]),0)</f>
        <v>171735.26</v>
      </c>
      <c r="I52" s="71">
        <v>471837</v>
      </c>
      <c r="J52" s="71">
        <v>0</v>
      </c>
      <c r="K52" s="71">
        <v>20474</v>
      </c>
      <c r="L52" s="71">
        <v>0</v>
      </c>
      <c r="M52" s="71">
        <v>10000</v>
      </c>
      <c r="N52" s="71">
        <v>0</v>
      </c>
      <c r="O52" s="76" t="s">
        <v>406</v>
      </c>
      <c r="P52" s="71">
        <v>0</v>
      </c>
      <c r="Q52" s="71">
        <v>0</v>
      </c>
      <c r="R52" s="71">
        <v>0</v>
      </c>
      <c r="S52" s="71">
        <v>139681</v>
      </c>
      <c r="T52" s="71">
        <v>0</v>
      </c>
      <c r="U52" s="85">
        <f>IFERROR(Table1[[#This Row],[Earned Income - Training Fees]]+Table1[[#This Row],[Earned Income - Fees]]+Table1[[#This Row],[Earned Income - Investments]]+Table1[[#This Row],[Earned Income - Other]],0)</f>
        <v>32054.26</v>
      </c>
      <c r="V52" s="71">
        <v>0</v>
      </c>
      <c r="W52" s="71">
        <v>0</v>
      </c>
      <c r="X52" s="83" t="s">
        <v>406</v>
      </c>
      <c r="Y52" s="71">
        <v>0</v>
      </c>
      <c r="Z52" s="71">
        <v>32054.26</v>
      </c>
      <c r="AA52" s="83" t="s">
        <v>498</v>
      </c>
      <c r="AB52" s="85">
        <f t="shared" si="1"/>
        <v>775171</v>
      </c>
      <c r="AC52" s="71">
        <v>300000</v>
      </c>
      <c r="AD52" s="85">
        <f>SUM(Table1[[#This Row],[Expenses - Revenue Generation]:[Expenses - Admin]])</f>
        <v>475171</v>
      </c>
      <c r="AE52" s="71">
        <v>100000</v>
      </c>
      <c r="AF52" s="71">
        <v>300000</v>
      </c>
      <c r="AG52" s="71">
        <v>75171</v>
      </c>
      <c r="AH52" s="72">
        <f>Table1[[#This Row],[Total FTE - Editorial]]+Table1[[#This Row],[Total FTE - Non-Editorial]]</f>
        <v>9</v>
      </c>
      <c r="AI52" s="72">
        <f>Table1[[#This Row],[FTE Salaried - Editorial]]+Table1[[#This Row],[FTE Contractors - Editorial]]</f>
        <v>3.5</v>
      </c>
      <c r="AJ52" s="56">
        <v>3</v>
      </c>
      <c r="AK52" s="56">
        <v>0.5</v>
      </c>
      <c r="AL52" s="57">
        <f>Table1[[#This Row],[FTE Salaried - Non-Editorial]]+Table1[[#This Row],[FTE Contractors - Non-Editorial]]</f>
        <v>5.5</v>
      </c>
      <c r="AM52" s="56">
        <v>5.5</v>
      </c>
      <c r="AN52" s="56">
        <v>0</v>
      </c>
      <c r="AO52" s="83" t="s">
        <v>342</v>
      </c>
      <c r="AP52" s="83" t="s">
        <v>406</v>
      </c>
      <c r="AQ52" s="73">
        <v>33000000</v>
      </c>
      <c r="AR52" s="73">
        <v>12000</v>
      </c>
      <c r="AS52" s="73">
        <v>0</v>
      </c>
      <c r="AT52" s="73">
        <v>0</v>
      </c>
      <c r="AU52" s="73">
        <v>0</v>
      </c>
      <c r="AV52" s="83" t="s">
        <v>406</v>
      </c>
      <c r="BC52" s="54"/>
      <c r="BD52" s="54"/>
      <c r="BE52" s="54"/>
      <c r="BF52" s="54"/>
      <c r="BG52" s="54"/>
      <c r="BI52" s="54"/>
      <c r="BK52" s="54"/>
      <c r="BL52" s="54"/>
      <c r="BM52" s="54"/>
      <c r="BN52" s="54"/>
      <c r="BO52" s="54"/>
      <c r="BP52" s="54"/>
      <c r="BS52" s="54"/>
      <c r="BT52" s="54"/>
      <c r="BU52" s="54"/>
      <c r="BV52" s="54"/>
      <c r="BW52" s="54"/>
    </row>
    <row r="53" spans="1:75" x14ac:dyDescent="0.25">
      <c r="A53" s="83" t="s">
        <v>499</v>
      </c>
      <c r="B53" s="83"/>
      <c r="C53" s="83" t="s">
        <v>7</v>
      </c>
      <c r="D53" s="83" t="s">
        <v>78</v>
      </c>
      <c r="E53" s="54" t="str">
        <f>_xlfn.CONCAT(Table1[[#This Row],[Geographic Scope]],": ",Table1[[#This Row],[Sub-Type/Focus]])</f>
        <v>Local: Multiple Related Topics</v>
      </c>
      <c r="F53" s="55">
        <f>Table1[[#This Row],[Total Contributed Income]]+Table1[[#This Row],[Total Earned Income]]</f>
        <v>77355</v>
      </c>
      <c r="G53" s="84">
        <f>IFERROR((Table1[[#This Row],[Cont. Income - Foundation]]+Table1[[#This Row],[Cont. Income - Membership]]+Table1[[#This Row],[Cont. Income - Small Donors]]+Table1[[#This Row],[Cont. Income - Med. Donors]]+Table1[[#This Row],[Cont. Income - Major Donors]]+Table1[[#This Row],[Cont. Income - Other]]),0)</f>
        <v>68777</v>
      </c>
      <c r="H53" s="84">
        <f>IFERROR((Table1[[#This Row],[Earned Income - Advertising]]+Table1[[#This Row],[Earned Income - Sponsorships/Underwriting]]+Table1[[#This Row],[Earned Income - Events]]+Table1[[#This Row],[Earned Income - Subscriptions]]+Table1[[#This Row],[Earned Income - Syndication]]+Table1[[#This Row],[Earned Income - Other TOTAL]]),0)</f>
        <v>8578</v>
      </c>
      <c r="I53" s="71">
        <v>32188</v>
      </c>
      <c r="J53" s="71">
        <v>0</v>
      </c>
      <c r="K53" s="71">
        <v>0</v>
      </c>
      <c r="L53" s="71">
        <v>28602</v>
      </c>
      <c r="M53" s="71">
        <v>7987</v>
      </c>
      <c r="N53" s="71">
        <v>0</v>
      </c>
      <c r="O53" s="76" t="s">
        <v>406</v>
      </c>
      <c r="P53" s="71">
        <v>8578</v>
      </c>
      <c r="Q53" s="71">
        <v>0</v>
      </c>
      <c r="R53" s="71">
        <v>0</v>
      </c>
      <c r="S53" s="71">
        <v>0</v>
      </c>
      <c r="T53" s="71">
        <v>0</v>
      </c>
      <c r="U53" s="85">
        <f>IFERROR(Table1[[#This Row],[Earned Income - Training Fees]]+Table1[[#This Row],[Earned Income - Fees]]+Table1[[#This Row],[Earned Income - Investments]]+Table1[[#This Row],[Earned Income - Other]],0)</f>
        <v>0</v>
      </c>
      <c r="V53" s="71">
        <v>0</v>
      </c>
      <c r="W53" s="71">
        <v>0</v>
      </c>
      <c r="X53" s="83" t="s">
        <v>406</v>
      </c>
      <c r="Y53" s="71">
        <v>0</v>
      </c>
      <c r="Z53" s="71">
        <v>0</v>
      </c>
      <c r="AA53" s="83" t="s">
        <v>406</v>
      </c>
      <c r="AB53" s="85">
        <f t="shared" si="1"/>
        <v>67214</v>
      </c>
      <c r="AC53" s="71">
        <v>52518</v>
      </c>
      <c r="AD53" s="85">
        <f>SUM(Table1[[#This Row],[Expenses - Revenue Generation]:[Expenses - Admin]])</f>
        <v>14696</v>
      </c>
      <c r="AE53" s="71">
        <v>40</v>
      </c>
      <c r="AF53" s="71">
        <v>2976</v>
      </c>
      <c r="AG53" s="71">
        <v>11680</v>
      </c>
      <c r="AH53" s="72">
        <f>Table1[[#This Row],[Total FTE - Editorial]]+Table1[[#This Row],[Total FTE - Non-Editorial]]</f>
        <v>1.2</v>
      </c>
      <c r="AI53" s="72">
        <f>Table1[[#This Row],[FTE Salaried - Editorial]]+Table1[[#This Row],[FTE Contractors - Editorial]]</f>
        <v>1.2</v>
      </c>
      <c r="AJ53" s="56">
        <v>0</v>
      </c>
      <c r="AK53" s="56">
        <v>1.2</v>
      </c>
      <c r="AL53" s="57">
        <f>Table1[[#This Row],[FTE Salaried - Non-Editorial]]+Table1[[#This Row],[FTE Contractors - Non-Editorial]]</f>
        <v>0</v>
      </c>
      <c r="AM53" s="56">
        <v>0</v>
      </c>
      <c r="AN53" s="56">
        <v>0</v>
      </c>
      <c r="AO53" s="83" t="s">
        <v>342</v>
      </c>
      <c r="AP53" s="83" t="s">
        <v>406</v>
      </c>
      <c r="AQ53" s="73">
        <v>24000</v>
      </c>
      <c r="AR53" s="73">
        <v>1500</v>
      </c>
      <c r="AS53" s="73">
        <v>0</v>
      </c>
      <c r="AT53" s="73">
        <v>0</v>
      </c>
      <c r="AU53" s="73">
        <v>0</v>
      </c>
      <c r="AV53" s="83" t="s">
        <v>406</v>
      </c>
      <c r="BC53" s="54"/>
      <c r="BD53" s="54"/>
      <c r="BE53" s="54"/>
      <c r="BF53" s="54"/>
      <c r="BG53" s="54"/>
      <c r="BI53" s="54"/>
      <c r="BK53" s="54"/>
      <c r="BL53" s="54"/>
      <c r="BM53" s="54"/>
      <c r="BN53" s="54"/>
      <c r="BO53" s="54"/>
      <c r="BP53" s="54"/>
      <c r="BS53" s="54"/>
      <c r="BT53" s="54"/>
      <c r="BU53" s="54"/>
      <c r="BV53" s="54"/>
      <c r="BW53" s="54"/>
    </row>
    <row r="54" spans="1:75" x14ac:dyDescent="0.25">
      <c r="A54" s="83" t="s">
        <v>500</v>
      </c>
      <c r="B54" s="83"/>
      <c r="C54" s="83" t="s">
        <v>7</v>
      </c>
      <c r="D54" s="83" t="s">
        <v>77</v>
      </c>
      <c r="E54" s="54" t="str">
        <f>_xlfn.CONCAT(Table1[[#This Row],[Geographic Scope]],": ",Table1[[#This Row],[Sub-Type/Focus]])</f>
        <v>Local: General</v>
      </c>
      <c r="F54" s="55">
        <f>Table1[[#This Row],[Total Contributed Income]]+Table1[[#This Row],[Total Earned Income]]</f>
        <v>675000</v>
      </c>
      <c r="G54" s="84">
        <f>IFERROR((Table1[[#This Row],[Cont. Income - Foundation]]+Table1[[#This Row],[Cont. Income - Membership]]+Table1[[#This Row],[Cont. Income - Small Donors]]+Table1[[#This Row],[Cont. Income - Med. Donors]]+Table1[[#This Row],[Cont. Income - Major Donors]]+Table1[[#This Row],[Cont. Income - Other]]),0)</f>
        <v>570000</v>
      </c>
      <c r="H54" s="84">
        <f>IFERROR((Table1[[#This Row],[Earned Income - Advertising]]+Table1[[#This Row],[Earned Income - Sponsorships/Underwriting]]+Table1[[#This Row],[Earned Income - Events]]+Table1[[#This Row],[Earned Income - Subscriptions]]+Table1[[#This Row],[Earned Income - Syndication]]+Table1[[#This Row],[Earned Income - Other TOTAL]]),0)</f>
        <v>105000</v>
      </c>
      <c r="I54" s="71">
        <v>175000</v>
      </c>
      <c r="J54" s="71">
        <v>0</v>
      </c>
      <c r="K54" s="71">
        <v>0</v>
      </c>
      <c r="L54" s="71">
        <v>0</v>
      </c>
      <c r="M54" s="71">
        <v>395000</v>
      </c>
      <c r="N54" s="71">
        <v>0</v>
      </c>
      <c r="O54" s="76" t="s">
        <v>406</v>
      </c>
      <c r="P54" s="71">
        <v>30000</v>
      </c>
      <c r="Q54" s="71">
        <v>75000</v>
      </c>
      <c r="R54" s="71">
        <v>0</v>
      </c>
      <c r="S54" s="71">
        <v>0</v>
      </c>
      <c r="T54" s="71">
        <v>0</v>
      </c>
      <c r="U54" s="85">
        <f>IFERROR(Table1[[#This Row],[Earned Income - Training Fees]]+Table1[[#This Row],[Earned Income - Fees]]+Table1[[#This Row],[Earned Income - Investments]]+Table1[[#This Row],[Earned Income - Other]],0)</f>
        <v>0</v>
      </c>
      <c r="V54" s="71">
        <v>0</v>
      </c>
      <c r="W54" s="71">
        <v>0</v>
      </c>
      <c r="X54" s="83" t="s">
        <v>406</v>
      </c>
      <c r="Y54" s="71">
        <v>0</v>
      </c>
      <c r="Z54" s="71">
        <v>0</v>
      </c>
      <c r="AA54" s="83" t="s">
        <v>406</v>
      </c>
      <c r="AB54" s="85">
        <f t="shared" si="1"/>
        <v>606173.78</v>
      </c>
      <c r="AC54" s="71">
        <v>556173.78</v>
      </c>
      <c r="AD54" s="85">
        <f>SUM(Table1[[#This Row],[Expenses - Revenue Generation]:[Expenses - Admin]])</f>
        <v>50000</v>
      </c>
      <c r="AE54" s="71">
        <v>0</v>
      </c>
      <c r="AF54" s="71">
        <v>0</v>
      </c>
      <c r="AG54" s="71">
        <v>50000</v>
      </c>
      <c r="AH54" s="72">
        <f>Table1[[#This Row],[Total FTE - Editorial]]+Table1[[#This Row],[Total FTE - Non-Editorial]]</f>
        <v>8.6000000000000014</v>
      </c>
      <c r="AI54" s="72">
        <f>Table1[[#This Row],[FTE Salaried - Editorial]]+Table1[[#This Row],[FTE Contractors - Editorial]]</f>
        <v>8.3000000000000007</v>
      </c>
      <c r="AJ54" s="56">
        <v>8.3000000000000007</v>
      </c>
      <c r="AK54" s="56">
        <v>0</v>
      </c>
      <c r="AL54" s="57">
        <f>Table1[[#This Row],[FTE Salaried - Non-Editorial]]+Table1[[#This Row],[FTE Contractors - Non-Editorial]]</f>
        <v>0.3</v>
      </c>
      <c r="AM54" s="56">
        <v>0</v>
      </c>
      <c r="AN54" s="56">
        <v>0.3</v>
      </c>
      <c r="AO54" s="83" t="s">
        <v>342</v>
      </c>
      <c r="AP54" s="83" t="s">
        <v>406</v>
      </c>
      <c r="AQ54" s="73">
        <v>180000</v>
      </c>
      <c r="AR54" s="73">
        <v>3850</v>
      </c>
      <c r="AS54" s="73">
        <v>0</v>
      </c>
      <c r="AT54" s="73">
        <v>0</v>
      </c>
      <c r="AU54" s="73">
        <v>150000</v>
      </c>
      <c r="AV54" s="83" t="s">
        <v>475</v>
      </c>
      <c r="BC54" s="54"/>
      <c r="BD54" s="54"/>
      <c r="BE54" s="54"/>
      <c r="BF54" s="54"/>
      <c r="BG54" s="54"/>
      <c r="BI54" s="54"/>
      <c r="BK54" s="54"/>
      <c r="BL54" s="54"/>
      <c r="BM54" s="54"/>
      <c r="BN54" s="54"/>
      <c r="BO54" s="54"/>
      <c r="BP54" s="54"/>
      <c r="BS54" s="54"/>
      <c r="BT54" s="54"/>
      <c r="BU54" s="54"/>
      <c r="BV54" s="54"/>
      <c r="BW54" s="54"/>
    </row>
    <row r="55" spans="1:75" x14ac:dyDescent="0.25">
      <c r="A55" s="83" t="s">
        <v>501</v>
      </c>
      <c r="B55" s="83"/>
      <c r="C55" s="83" t="s">
        <v>83</v>
      </c>
      <c r="D55" s="83" t="s">
        <v>78</v>
      </c>
      <c r="E55" s="54" t="str">
        <f>_xlfn.CONCAT(Table1[[#This Row],[Geographic Scope]],": ",Table1[[#This Row],[Sub-Type/Focus]])</f>
        <v>State: Multiple Related Topics</v>
      </c>
      <c r="F55" s="55">
        <f>Table1[[#This Row],[Total Contributed Income]]+Table1[[#This Row],[Total Earned Income]]</f>
        <v>394651</v>
      </c>
      <c r="G55" s="84">
        <f>IFERROR((Table1[[#This Row],[Cont. Income - Foundation]]+Table1[[#This Row],[Cont. Income - Membership]]+Table1[[#This Row],[Cont. Income - Small Donors]]+Table1[[#This Row],[Cont. Income - Med. Donors]]+Table1[[#This Row],[Cont. Income - Major Donors]]+Table1[[#This Row],[Cont. Income - Other]]),0)</f>
        <v>381331</v>
      </c>
      <c r="H55" s="84">
        <f>IFERROR((Table1[[#This Row],[Earned Income - Advertising]]+Table1[[#This Row],[Earned Income - Sponsorships/Underwriting]]+Table1[[#This Row],[Earned Income - Events]]+Table1[[#This Row],[Earned Income - Subscriptions]]+Table1[[#This Row],[Earned Income - Syndication]]+Table1[[#This Row],[Earned Income - Other TOTAL]]),0)</f>
        <v>13320</v>
      </c>
      <c r="I55" s="71">
        <v>361125</v>
      </c>
      <c r="J55" s="71">
        <v>0</v>
      </c>
      <c r="K55" s="71">
        <v>20206</v>
      </c>
      <c r="L55" s="71">
        <v>0</v>
      </c>
      <c r="M55" s="71">
        <v>0</v>
      </c>
      <c r="N55" s="71">
        <v>0</v>
      </c>
      <c r="O55" s="76" t="s">
        <v>406</v>
      </c>
      <c r="P55" s="71">
        <v>0</v>
      </c>
      <c r="Q55" s="71">
        <v>13320</v>
      </c>
      <c r="R55" s="71">
        <v>0</v>
      </c>
      <c r="S55" s="71">
        <v>0</v>
      </c>
      <c r="T55" s="71">
        <v>0</v>
      </c>
      <c r="U55" s="85">
        <f>IFERROR(Table1[[#This Row],[Earned Income - Training Fees]]+Table1[[#This Row],[Earned Income - Fees]]+Table1[[#This Row],[Earned Income - Investments]]+Table1[[#This Row],[Earned Income - Other]],0)</f>
        <v>0</v>
      </c>
      <c r="V55" s="71">
        <v>0</v>
      </c>
      <c r="W55" s="71">
        <v>0</v>
      </c>
      <c r="X55" s="83" t="s">
        <v>406</v>
      </c>
      <c r="Y55" s="71">
        <v>0</v>
      </c>
      <c r="Z55" s="71">
        <v>0</v>
      </c>
      <c r="AA55" s="83" t="s">
        <v>406</v>
      </c>
      <c r="AB55" s="85">
        <f t="shared" si="1"/>
        <v>394651</v>
      </c>
      <c r="AC55" s="71">
        <v>298216</v>
      </c>
      <c r="AD55" s="85">
        <f>SUM(Table1[[#This Row],[Expenses - Revenue Generation]:[Expenses - Admin]])</f>
        <v>96435</v>
      </c>
      <c r="AE55" s="71">
        <v>31000</v>
      </c>
      <c r="AF55" s="71">
        <v>15000</v>
      </c>
      <c r="AG55" s="71">
        <v>50435</v>
      </c>
      <c r="AH55" s="72">
        <f>Table1[[#This Row],[Total FTE - Editorial]]+Table1[[#This Row],[Total FTE - Non-Editorial]]</f>
        <v>3.5</v>
      </c>
      <c r="AI55" s="72">
        <f>Table1[[#This Row],[FTE Salaried - Editorial]]+Table1[[#This Row],[FTE Contractors - Editorial]]</f>
        <v>2.5</v>
      </c>
      <c r="AJ55" s="56">
        <v>2.5</v>
      </c>
      <c r="AK55" s="56">
        <v>0</v>
      </c>
      <c r="AL55" s="57">
        <f>Table1[[#This Row],[FTE Salaried - Non-Editorial]]+Table1[[#This Row],[FTE Contractors - Non-Editorial]]</f>
        <v>1</v>
      </c>
      <c r="AM55" s="56">
        <v>1</v>
      </c>
      <c r="AN55" s="56">
        <v>0</v>
      </c>
      <c r="AO55" s="83" t="s">
        <v>342</v>
      </c>
      <c r="AP55" s="83" t="s">
        <v>406</v>
      </c>
      <c r="AQ55" s="73">
        <v>9551</v>
      </c>
      <c r="AR55" s="73">
        <v>8435</v>
      </c>
      <c r="AS55" s="73">
        <v>100000</v>
      </c>
      <c r="AT55" s="73">
        <v>1</v>
      </c>
      <c r="AU55" s="73">
        <v>0</v>
      </c>
      <c r="AV55" s="83" t="s">
        <v>406</v>
      </c>
      <c r="BC55" s="54"/>
      <c r="BD55" s="54"/>
      <c r="BE55" s="54"/>
      <c r="BF55" s="54"/>
      <c r="BG55" s="54"/>
      <c r="BI55" s="54"/>
      <c r="BK55" s="54"/>
      <c r="BL55" s="54"/>
      <c r="BM55" s="54"/>
      <c r="BN55" s="54"/>
      <c r="BO55" s="54"/>
      <c r="BP55" s="54"/>
      <c r="BS55" s="54"/>
      <c r="BT55" s="54"/>
      <c r="BU55" s="54"/>
      <c r="BV55" s="54"/>
      <c r="BW55" s="54"/>
    </row>
    <row r="56" spans="1:75" x14ac:dyDescent="0.25">
      <c r="A56" s="83" t="s">
        <v>502</v>
      </c>
      <c r="B56" s="83"/>
      <c r="C56" s="83" t="s">
        <v>6</v>
      </c>
      <c r="D56" s="83" t="s">
        <v>78</v>
      </c>
      <c r="E56" s="54" t="str">
        <f>_xlfn.CONCAT(Table1[[#This Row],[Geographic Scope]],": ",Table1[[#This Row],[Sub-Type/Focus]])</f>
        <v>National: Multiple Related Topics</v>
      </c>
      <c r="F56" s="55">
        <f>Table1[[#This Row],[Total Contributed Income]]+Table1[[#This Row],[Total Earned Income]]</f>
        <v>741028</v>
      </c>
      <c r="G56" s="84">
        <f>IFERROR((Table1[[#This Row],[Cont. Income - Foundation]]+Table1[[#This Row],[Cont. Income - Membership]]+Table1[[#This Row],[Cont. Income - Small Donors]]+Table1[[#This Row],[Cont. Income - Med. Donors]]+Table1[[#This Row],[Cont. Income - Major Donors]]+Table1[[#This Row],[Cont. Income - Other]]),0)</f>
        <v>545561</v>
      </c>
      <c r="H56" s="84">
        <f>IFERROR((Table1[[#This Row],[Earned Income - Advertising]]+Table1[[#This Row],[Earned Income - Sponsorships/Underwriting]]+Table1[[#This Row],[Earned Income - Events]]+Table1[[#This Row],[Earned Income - Subscriptions]]+Table1[[#This Row],[Earned Income - Syndication]]+Table1[[#This Row],[Earned Income - Other TOTAL]]),0)</f>
        <v>195467</v>
      </c>
      <c r="I56" s="71">
        <v>465933</v>
      </c>
      <c r="J56" s="71">
        <v>0</v>
      </c>
      <c r="K56" s="71">
        <v>74628</v>
      </c>
      <c r="L56" s="71">
        <v>5000</v>
      </c>
      <c r="M56" s="71">
        <v>0</v>
      </c>
      <c r="N56" s="71">
        <v>0</v>
      </c>
      <c r="O56" s="76" t="s">
        <v>406</v>
      </c>
      <c r="P56" s="71">
        <v>153953</v>
      </c>
      <c r="Q56" s="71">
        <v>0</v>
      </c>
      <c r="R56" s="71">
        <v>41514</v>
      </c>
      <c r="S56" s="71">
        <v>0</v>
      </c>
      <c r="T56" s="71">
        <v>0</v>
      </c>
      <c r="U56" s="85">
        <f>IFERROR(Table1[[#This Row],[Earned Income - Training Fees]]+Table1[[#This Row],[Earned Income - Fees]]+Table1[[#This Row],[Earned Income - Investments]]+Table1[[#This Row],[Earned Income - Other]],0)</f>
        <v>0</v>
      </c>
      <c r="V56" s="71">
        <v>0</v>
      </c>
      <c r="W56" s="71">
        <v>0</v>
      </c>
      <c r="X56" s="83" t="s">
        <v>406</v>
      </c>
      <c r="Y56" s="71">
        <v>0</v>
      </c>
      <c r="Z56" s="71">
        <v>0</v>
      </c>
      <c r="AA56" s="83" t="s">
        <v>406</v>
      </c>
      <c r="AB56" s="85">
        <f t="shared" si="1"/>
        <v>1146707</v>
      </c>
      <c r="AC56" s="71">
        <v>184818</v>
      </c>
      <c r="AD56" s="85">
        <f>SUM(Table1[[#This Row],[Expenses - Revenue Generation]:[Expenses - Admin]])</f>
        <v>961889</v>
      </c>
      <c r="AE56" s="71">
        <v>0</v>
      </c>
      <c r="AF56" s="71">
        <v>750</v>
      </c>
      <c r="AG56" s="71">
        <v>961139</v>
      </c>
      <c r="AH56" s="72">
        <f>Table1[[#This Row],[Total FTE - Editorial]]+Table1[[#This Row],[Total FTE - Non-Editorial]]</f>
        <v>7</v>
      </c>
      <c r="AI56" s="72">
        <f>Table1[[#This Row],[FTE Salaried - Editorial]]+Table1[[#This Row],[FTE Contractors - Editorial]]</f>
        <v>4</v>
      </c>
      <c r="AJ56" s="56">
        <v>4</v>
      </c>
      <c r="AK56" s="56">
        <v>0</v>
      </c>
      <c r="AL56" s="57">
        <f>Table1[[#This Row],[FTE Salaried - Non-Editorial]]+Table1[[#This Row],[FTE Contractors - Non-Editorial]]</f>
        <v>3</v>
      </c>
      <c r="AM56" s="56">
        <v>3</v>
      </c>
      <c r="AN56" s="56">
        <v>0</v>
      </c>
      <c r="AO56" s="83" t="s">
        <v>342</v>
      </c>
      <c r="AP56" s="83" t="s">
        <v>406</v>
      </c>
      <c r="AQ56" s="73">
        <v>161051</v>
      </c>
      <c r="AR56" s="73">
        <v>50682</v>
      </c>
      <c r="AS56" s="73">
        <v>5000</v>
      </c>
      <c r="AT56" s="73">
        <v>1</v>
      </c>
      <c r="AU56" s="73">
        <v>0</v>
      </c>
      <c r="AV56" s="83" t="s">
        <v>406</v>
      </c>
      <c r="BC56" s="54"/>
      <c r="BD56" s="54"/>
      <c r="BE56" s="54"/>
      <c r="BF56" s="54"/>
      <c r="BG56" s="54"/>
      <c r="BI56" s="54"/>
      <c r="BK56" s="54"/>
      <c r="BL56" s="54"/>
      <c r="BM56" s="54"/>
      <c r="BN56" s="54"/>
      <c r="BO56" s="54"/>
      <c r="BP56" s="54"/>
      <c r="BS56" s="54"/>
      <c r="BT56" s="54"/>
      <c r="BU56" s="54"/>
      <c r="BV56" s="54"/>
      <c r="BW56" s="54"/>
    </row>
    <row r="57" spans="1:75" x14ac:dyDescent="0.25">
      <c r="A57" s="83" t="s">
        <v>503</v>
      </c>
      <c r="B57" s="83"/>
      <c r="C57" s="83" t="s">
        <v>6</v>
      </c>
      <c r="D57" s="83" t="s">
        <v>78</v>
      </c>
      <c r="E57" s="54" t="str">
        <f>_xlfn.CONCAT(Table1[[#This Row],[Geographic Scope]],": ",Table1[[#This Row],[Sub-Type/Focus]])</f>
        <v>National: Multiple Related Topics</v>
      </c>
      <c r="F57" s="55">
        <f>Table1[[#This Row],[Total Contributed Income]]+Table1[[#This Row],[Total Earned Income]]</f>
        <v>2070019</v>
      </c>
      <c r="G57" s="84">
        <f>IFERROR((Table1[[#This Row],[Cont. Income - Foundation]]+Table1[[#This Row],[Cont. Income - Membership]]+Table1[[#This Row],[Cont. Income - Small Donors]]+Table1[[#This Row],[Cont. Income - Med. Donors]]+Table1[[#This Row],[Cont. Income - Major Donors]]+Table1[[#This Row],[Cont. Income - Other]]),0)</f>
        <v>1224263</v>
      </c>
      <c r="H57" s="84">
        <f>IFERROR((Table1[[#This Row],[Earned Income - Advertising]]+Table1[[#This Row],[Earned Income - Sponsorships/Underwriting]]+Table1[[#This Row],[Earned Income - Events]]+Table1[[#This Row],[Earned Income - Subscriptions]]+Table1[[#This Row],[Earned Income - Syndication]]+Table1[[#This Row],[Earned Income - Other TOTAL]]),0)</f>
        <v>845756</v>
      </c>
      <c r="I57" s="71">
        <v>1083525</v>
      </c>
      <c r="J57" s="71">
        <v>100508</v>
      </c>
      <c r="K57" s="71">
        <v>40230</v>
      </c>
      <c r="L57" s="71">
        <v>0</v>
      </c>
      <c r="M57" s="71">
        <v>0</v>
      </c>
      <c r="N57" s="71">
        <v>0</v>
      </c>
      <c r="O57" s="76" t="s">
        <v>406</v>
      </c>
      <c r="P57" s="71">
        <v>653456</v>
      </c>
      <c r="Q57" s="71">
        <v>0</v>
      </c>
      <c r="R57" s="71">
        <v>0</v>
      </c>
      <c r="S57" s="71">
        <v>157630</v>
      </c>
      <c r="T57" s="71">
        <v>34670</v>
      </c>
      <c r="U57" s="85">
        <f>IFERROR(Table1[[#This Row],[Earned Income - Training Fees]]+Table1[[#This Row],[Earned Income - Fees]]+Table1[[#This Row],[Earned Income - Investments]]+Table1[[#This Row],[Earned Income - Other]],0)</f>
        <v>0</v>
      </c>
      <c r="V57" s="71">
        <v>0</v>
      </c>
      <c r="W57" s="71">
        <v>0</v>
      </c>
      <c r="X57" s="83" t="s">
        <v>406</v>
      </c>
      <c r="Y57" s="71">
        <v>0</v>
      </c>
      <c r="Z57" s="71">
        <v>0</v>
      </c>
      <c r="AA57" s="83" t="s">
        <v>406</v>
      </c>
      <c r="AB57" s="85">
        <f t="shared" si="1"/>
        <v>2100143</v>
      </c>
      <c r="AC57" s="71">
        <v>1240000</v>
      </c>
      <c r="AD57" s="85">
        <f>SUM(Table1[[#This Row],[Expenses - Revenue Generation]:[Expenses - Admin]])</f>
        <v>860143</v>
      </c>
      <c r="AE57" s="71">
        <v>450890</v>
      </c>
      <c r="AF57" s="71">
        <v>179253</v>
      </c>
      <c r="AG57" s="71">
        <v>230000</v>
      </c>
      <c r="AH57" s="72">
        <f>Table1[[#This Row],[Total FTE - Editorial]]+Table1[[#This Row],[Total FTE - Non-Editorial]]</f>
        <v>18</v>
      </c>
      <c r="AI57" s="72">
        <f>Table1[[#This Row],[FTE Salaried - Editorial]]+Table1[[#This Row],[FTE Contractors - Editorial]]</f>
        <v>12</v>
      </c>
      <c r="AJ57" s="56">
        <v>8</v>
      </c>
      <c r="AK57" s="56">
        <v>4</v>
      </c>
      <c r="AL57" s="57">
        <f>Table1[[#This Row],[FTE Salaried - Non-Editorial]]+Table1[[#This Row],[FTE Contractors - Non-Editorial]]</f>
        <v>6</v>
      </c>
      <c r="AM57" s="56">
        <v>4</v>
      </c>
      <c r="AN57" s="56">
        <v>2</v>
      </c>
      <c r="AO57" s="83" t="s">
        <v>342</v>
      </c>
      <c r="AP57" s="83" t="s">
        <v>406</v>
      </c>
      <c r="AQ57" s="73">
        <v>275000</v>
      </c>
      <c r="AR57" s="73">
        <v>52000</v>
      </c>
      <c r="AS57" s="73">
        <v>5500</v>
      </c>
      <c r="AT57" s="73">
        <v>4</v>
      </c>
      <c r="AU57" s="73">
        <v>10000</v>
      </c>
      <c r="AV57" s="83" t="s">
        <v>504</v>
      </c>
      <c r="BC57" s="54"/>
      <c r="BD57" s="54"/>
      <c r="BE57" s="54"/>
      <c r="BF57" s="54"/>
      <c r="BG57" s="54"/>
      <c r="BI57" s="54"/>
      <c r="BK57" s="54"/>
      <c r="BL57" s="54"/>
      <c r="BM57" s="54"/>
      <c r="BN57" s="54"/>
      <c r="BO57" s="54"/>
      <c r="BP57" s="54"/>
      <c r="BS57" s="54"/>
      <c r="BT57" s="54"/>
      <c r="BU57" s="54"/>
      <c r="BV57" s="54"/>
      <c r="BW57" s="54"/>
    </row>
    <row r="58" spans="1:75" x14ac:dyDescent="0.25">
      <c r="A58" s="83" t="s">
        <v>505</v>
      </c>
      <c r="B58" s="83"/>
      <c r="C58" s="83" t="s">
        <v>83</v>
      </c>
      <c r="D58" s="83" t="s">
        <v>79</v>
      </c>
      <c r="E58" s="54" t="str">
        <f>_xlfn.CONCAT(Table1[[#This Row],[Geographic Scope]],": ",Table1[[#This Row],[Sub-Type/Focus]])</f>
        <v>State: Single-Topic</v>
      </c>
      <c r="F58" s="55">
        <f>Table1[[#This Row],[Total Contributed Income]]+Table1[[#This Row],[Total Earned Income]]</f>
        <v>338691</v>
      </c>
      <c r="G58" s="84">
        <f>IFERROR((Table1[[#This Row],[Cont. Income - Foundation]]+Table1[[#This Row],[Cont. Income - Membership]]+Table1[[#This Row],[Cont. Income - Small Donors]]+Table1[[#This Row],[Cont. Income - Med. Donors]]+Table1[[#This Row],[Cont. Income - Major Donors]]+Table1[[#This Row],[Cont. Income - Other]]),0)</f>
        <v>237969</v>
      </c>
      <c r="H58" s="84">
        <f>IFERROR((Table1[[#This Row],[Earned Income - Advertising]]+Table1[[#This Row],[Earned Income - Sponsorships/Underwriting]]+Table1[[#This Row],[Earned Income - Events]]+Table1[[#This Row],[Earned Income - Subscriptions]]+Table1[[#This Row],[Earned Income - Syndication]]+Table1[[#This Row],[Earned Income - Other TOTAL]]),0)</f>
        <v>100722</v>
      </c>
      <c r="I58" s="71">
        <v>203650</v>
      </c>
      <c r="J58" s="71">
        <v>0</v>
      </c>
      <c r="K58" s="71">
        <v>28119</v>
      </c>
      <c r="L58" s="71">
        <v>6200</v>
      </c>
      <c r="M58" s="71">
        <v>0</v>
      </c>
      <c r="N58" s="71">
        <v>0</v>
      </c>
      <c r="O58" s="76" t="s">
        <v>406</v>
      </c>
      <c r="P58" s="71">
        <v>0</v>
      </c>
      <c r="Q58" s="71">
        <v>99400</v>
      </c>
      <c r="R58" s="71">
        <v>0</v>
      </c>
      <c r="S58" s="71">
        <v>0</v>
      </c>
      <c r="T58" s="71">
        <v>1072</v>
      </c>
      <c r="U58" s="85">
        <f>IFERROR(Table1[[#This Row],[Earned Income - Training Fees]]+Table1[[#This Row],[Earned Income - Fees]]+Table1[[#This Row],[Earned Income - Investments]]+Table1[[#This Row],[Earned Income - Other]],0)</f>
        <v>250</v>
      </c>
      <c r="V58" s="71">
        <v>0</v>
      </c>
      <c r="W58" s="71">
        <v>0</v>
      </c>
      <c r="X58" s="83" t="s">
        <v>406</v>
      </c>
      <c r="Y58" s="71">
        <v>0</v>
      </c>
      <c r="Z58" s="71">
        <v>250</v>
      </c>
      <c r="AA58" s="83" t="s">
        <v>506</v>
      </c>
      <c r="AB58" s="85">
        <f t="shared" si="1"/>
        <v>242070</v>
      </c>
      <c r="AC58" s="71">
        <v>170403</v>
      </c>
      <c r="AD58" s="85">
        <f>SUM(Table1[[#This Row],[Expenses - Revenue Generation]:[Expenses - Admin]])</f>
        <v>71667</v>
      </c>
      <c r="AE58" s="71">
        <v>29233</v>
      </c>
      <c r="AF58" s="71">
        <v>2116</v>
      </c>
      <c r="AG58" s="71">
        <v>40318</v>
      </c>
      <c r="AH58" s="72">
        <f>Table1[[#This Row],[Total FTE - Editorial]]+Table1[[#This Row],[Total FTE - Non-Editorial]]</f>
        <v>3</v>
      </c>
      <c r="AI58" s="72">
        <f>Table1[[#This Row],[FTE Salaried - Editorial]]+Table1[[#This Row],[FTE Contractors - Editorial]]</f>
        <v>2</v>
      </c>
      <c r="AJ58" s="56">
        <v>1.5</v>
      </c>
      <c r="AK58" s="56">
        <v>0.5</v>
      </c>
      <c r="AL58" s="57">
        <f>Table1[[#This Row],[FTE Salaried - Non-Editorial]]+Table1[[#This Row],[FTE Contractors - Non-Editorial]]</f>
        <v>1</v>
      </c>
      <c r="AM58" s="56">
        <v>0.5</v>
      </c>
      <c r="AN58" s="56">
        <v>0.5</v>
      </c>
      <c r="AO58" s="83" t="s">
        <v>342</v>
      </c>
      <c r="AP58" s="83" t="s">
        <v>406</v>
      </c>
      <c r="AQ58" s="73">
        <v>46618</v>
      </c>
      <c r="AR58" s="73">
        <v>6698</v>
      </c>
      <c r="AS58" s="73">
        <v>0</v>
      </c>
      <c r="AT58" s="73">
        <v>0</v>
      </c>
      <c r="AU58" s="73">
        <v>0</v>
      </c>
      <c r="AV58" s="83" t="s">
        <v>406</v>
      </c>
      <c r="BC58" s="54"/>
      <c r="BD58" s="54"/>
      <c r="BE58" s="54"/>
      <c r="BF58" s="54"/>
      <c r="BG58" s="54"/>
      <c r="BI58" s="54"/>
      <c r="BK58" s="54"/>
      <c r="BL58" s="54"/>
      <c r="BM58" s="54"/>
      <c r="BN58" s="54"/>
      <c r="BO58" s="54"/>
      <c r="BP58" s="54"/>
      <c r="BS58" s="54"/>
      <c r="BT58" s="54"/>
      <c r="BU58" s="54"/>
      <c r="BV58" s="54"/>
      <c r="BW58" s="54"/>
    </row>
    <row r="59" spans="1:75" x14ac:dyDescent="0.25">
      <c r="A59" s="83" t="s">
        <v>507</v>
      </c>
      <c r="B59" s="83"/>
      <c r="C59" s="83" t="s">
        <v>7</v>
      </c>
      <c r="D59" s="83" t="s">
        <v>77</v>
      </c>
      <c r="E59" s="54" t="str">
        <f>_xlfn.CONCAT(Table1[[#This Row],[Geographic Scope]],": ",Table1[[#This Row],[Sub-Type/Focus]])</f>
        <v>Local: General</v>
      </c>
      <c r="F59" s="55">
        <f>Table1[[#This Row],[Total Contributed Income]]+Table1[[#This Row],[Total Earned Income]]</f>
        <v>381538</v>
      </c>
      <c r="G59" s="84">
        <f>IFERROR((Table1[[#This Row],[Cont. Income - Foundation]]+Table1[[#This Row],[Cont. Income - Membership]]+Table1[[#This Row],[Cont. Income - Small Donors]]+Table1[[#This Row],[Cont. Income - Med. Donors]]+Table1[[#This Row],[Cont. Income - Major Donors]]+Table1[[#This Row],[Cont. Income - Other]]),0)</f>
        <v>102538</v>
      </c>
      <c r="H59" s="84">
        <f>IFERROR((Table1[[#This Row],[Earned Income - Advertising]]+Table1[[#This Row],[Earned Income - Sponsorships/Underwriting]]+Table1[[#This Row],[Earned Income - Events]]+Table1[[#This Row],[Earned Income - Subscriptions]]+Table1[[#This Row],[Earned Income - Syndication]]+Table1[[#This Row],[Earned Income - Other TOTAL]]),0)</f>
        <v>279000</v>
      </c>
      <c r="I59" s="71">
        <v>52238</v>
      </c>
      <c r="J59" s="71">
        <v>0</v>
      </c>
      <c r="K59" s="71">
        <v>50300</v>
      </c>
      <c r="L59" s="71">
        <v>0</v>
      </c>
      <c r="M59" s="71">
        <v>0</v>
      </c>
      <c r="N59" s="71">
        <v>0</v>
      </c>
      <c r="O59" s="76" t="s">
        <v>406</v>
      </c>
      <c r="P59" s="71">
        <v>210000</v>
      </c>
      <c r="Q59" s="71">
        <v>38000</v>
      </c>
      <c r="R59" s="71">
        <v>31000</v>
      </c>
      <c r="S59" s="71">
        <v>0</v>
      </c>
      <c r="T59" s="71">
        <v>0</v>
      </c>
      <c r="U59" s="85">
        <f>IFERROR(Table1[[#This Row],[Earned Income - Training Fees]]+Table1[[#This Row],[Earned Income - Fees]]+Table1[[#This Row],[Earned Income - Investments]]+Table1[[#This Row],[Earned Income - Other]],0)</f>
        <v>0</v>
      </c>
      <c r="V59" s="71">
        <v>0</v>
      </c>
      <c r="W59" s="71">
        <v>0</v>
      </c>
      <c r="X59" s="83" t="s">
        <v>406</v>
      </c>
      <c r="Y59" s="71">
        <v>0</v>
      </c>
      <c r="Z59" s="71">
        <v>0</v>
      </c>
      <c r="AA59" s="83" t="s">
        <v>406</v>
      </c>
      <c r="AB59" s="85">
        <f t="shared" si="1"/>
        <v>357000</v>
      </c>
      <c r="AC59" s="71">
        <v>235000</v>
      </c>
      <c r="AD59" s="85">
        <f>SUM(Table1[[#This Row],[Expenses - Revenue Generation]:[Expenses - Admin]])</f>
        <v>122000</v>
      </c>
      <c r="AE59" s="71">
        <v>0</v>
      </c>
      <c r="AF59" s="71">
        <v>12000</v>
      </c>
      <c r="AG59" s="71">
        <v>110000</v>
      </c>
      <c r="AH59" s="72">
        <f>Table1[[#This Row],[Total FTE - Editorial]]+Table1[[#This Row],[Total FTE - Non-Editorial]]</f>
        <v>12</v>
      </c>
      <c r="AI59" s="72">
        <f>Table1[[#This Row],[FTE Salaried - Editorial]]+Table1[[#This Row],[FTE Contractors - Editorial]]</f>
        <v>12</v>
      </c>
      <c r="AJ59" s="56">
        <v>3</v>
      </c>
      <c r="AK59" s="56">
        <v>9</v>
      </c>
      <c r="AL59" s="57">
        <f>Table1[[#This Row],[FTE Salaried - Non-Editorial]]+Table1[[#This Row],[FTE Contractors - Non-Editorial]]</f>
        <v>0</v>
      </c>
      <c r="AM59" s="56">
        <v>0</v>
      </c>
      <c r="AN59" s="56">
        <v>0</v>
      </c>
      <c r="AO59" s="83" t="s">
        <v>342</v>
      </c>
      <c r="AP59" s="83" t="s">
        <v>406</v>
      </c>
      <c r="AQ59" s="73">
        <v>165000</v>
      </c>
      <c r="AR59" s="73">
        <v>10000</v>
      </c>
      <c r="AS59" s="73" t="s">
        <v>406</v>
      </c>
      <c r="AT59" s="73">
        <v>0</v>
      </c>
      <c r="AU59" s="73">
        <v>0</v>
      </c>
      <c r="AV59" s="83" t="s">
        <v>406</v>
      </c>
      <c r="BC59" s="54"/>
      <c r="BD59" s="54"/>
      <c r="BE59" s="54"/>
      <c r="BF59" s="54"/>
      <c r="BG59" s="54"/>
      <c r="BI59" s="54"/>
      <c r="BK59" s="54"/>
      <c r="BL59" s="54"/>
      <c r="BM59" s="54"/>
      <c r="BN59" s="54"/>
      <c r="BO59" s="54"/>
      <c r="BP59" s="54"/>
      <c r="BS59" s="54"/>
      <c r="BT59" s="54"/>
      <c r="BU59" s="54"/>
      <c r="BV59" s="54"/>
      <c r="BW59" s="54"/>
    </row>
    <row r="60" spans="1:75" x14ac:dyDescent="0.25">
      <c r="A60" s="83" t="s">
        <v>508</v>
      </c>
      <c r="B60" s="83"/>
      <c r="C60" s="83" t="s">
        <v>83</v>
      </c>
      <c r="D60" s="83" t="s">
        <v>77</v>
      </c>
      <c r="E60" s="54" t="str">
        <f>_xlfn.CONCAT(Table1[[#This Row],[Geographic Scope]],": ",Table1[[#This Row],[Sub-Type/Focus]])</f>
        <v>State: General</v>
      </c>
      <c r="F60" s="55">
        <f>Table1[[#This Row],[Total Contributed Income]]+Table1[[#This Row],[Total Earned Income]]</f>
        <v>654971</v>
      </c>
      <c r="G60" s="84">
        <f>IFERROR((Table1[[#This Row],[Cont. Income - Foundation]]+Table1[[#This Row],[Cont. Income - Membership]]+Table1[[#This Row],[Cont. Income - Small Donors]]+Table1[[#This Row],[Cont. Income - Med. Donors]]+Table1[[#This Row],[Cont. Income - Major Donors]]+Table1[[#This Row],[Cont. Income - Other]]),0)</f>
        <v>641371</v>
      </c>
      <c r="H60" s="84">
        <f>IFERROR((Table1[[#This Row],[Earned Income - Advertising]]+Table1[[#This Row],[Earned Income - Sponsorships/Underwriting]]+Table1[[#This Row],[Earned Income - Events]]+Table1[[#This Row],[Earned Income - Subscriptions]]+Table1[[#This Row],[Earned Income - Syndication]]+Table1[[#This Row],[Earned Income - Other TOTAL]]),0)</f>
        <v>13600</v>
      </c>
      <c r="I60" s="71">
        <v>578408</v>
      </c>
      <c r="J60" s="71">
        <v>14713</v>
      </c>
      <c r="K60" s="71">
        <v>28250</v>
      </c>
      <c r="L60" s="71">
        <v>0</v>
      </c>
      <c r="M60" s="71">
        <v>20000</v>
      </c>
      <c r="N60" s="71">
        <v>0</v>
      </c>
      <c r="O60" s="76" t="s">
        <v>406</v>
      </c>
      <c r="P60" s="71">
        <v>0</v>
      </c>
      <c r="Q60" s="71">
        <v>5000</v>
      </c>
      <c r="R60" s="71">
        <v>5000</v>
      </c>
      <c r="S60" s="71">
        <v>0</v>
      </c>
      <c r="T60" s="71">
        <v>3600</v>
      </c>
      <c r="U60" s="85">
        <f>IFERROR(Table1[[#This Row],[Earned Income - Training Fees]]+Table1[[#This Row],[Earned Income - Fees]]+Table1[[#This Row],[Earned Income - Investments]]+Table1[[#This Row],[Earned Income - Other]],0)</f>
        <v>0</v>
      </c>
      <c r="V60" s="71">
        <v>0</v>
      </c>
      <c r="W60" s="71">
        <v>0</v>
      </c>
      <c r="X60" s="83" t="s">
        <v>406</v>
      </c>
      <c r="Y60" s="71">
        <v>0</v>
      </c>
      <c r="Z60" s="71">
        <v>0</v>
      </c>
      <c r="AA60" s="83" t="s">
        <v>406</v>
      </c>
      <c r="AB60" s="85">
        <f t="shared" si="1"/>
        <v>695871</v>
      </c>
      <c r="AC60" s="71">
        <v>382743</v>
      </c>
      <c r="AD60" s="85">
        <f>SUM(Table1[[#This Row],[Expenses - Revenue Generation]:[Expenses - Admin]])</f>
        <v>313128</v>
      </c>
      <c r="AE60" s="71">
        <v>133315</v>
      </c>
      <c r="AF60" s="71">
        <v>17769</v>
      </c>
      <c r="AG60" s="71">
        <v>162044</v>
      </c>
      <c r="AH60" s="72">
        <f>Table1[[#This Row],[Total FTE - Editorial]]+Table1[[#This Row],[Total FTE - Non-Editorial]]</f>
        <v>11.9</v>
      </c>
      <c r="AI60" s="72">
        <f>Table1[[#This Row],[FTE Salaried - Editorial]]+Table1[[#This Row],[FTE Contractors - Editorial]]</f>
        <v>11</v>
      </c>
      <c r="AJ60" s="56">
        <v>4.5</v>
      </c>
      <c r="AK60" s="56">
        <v>6.5</v>
      </c>
      <c r="AL60" s="57">
        <f>Table1[[#This Row],[FTE Salaried - Non-Editorial]]+Table1[[#This Row],[FTE Contractors - Non-Editorial]]</f>
        <v>0.9</v>
      </c>
      <c r="AM60" s="56">
        <v>0.5</v>
      </c>
      <c r="AN60" s="56">
        <v>0.4</v>
      </c>
      <c r="AO60" s="83" t="s">
        <v>342</v>
      </c>
      <c r="AP60" s="83" t="s">
        <v>406</v>
      </c>
      <c r="AQ60" s="73">
        <v>35046</v>
      </c>
      <c r="AR60" s="73">
        <v>9736</v>
      </c>
      <c r="AS60" s="73">
        <v>0</v>
      </c>
      <c r="AT60" s="73">
        <v>0</v>
      </c>
      <c r="AU60" s="73">
        <v>0</v>
      </c>
      <c r="AV60" s="83" t="s">
        <v>406</v>
      </c>
      <c r="BC60" s="54"/>
      <c r="BD60" s="54"/>
      <c r="BE60" s="54"/>
      <c r="BF60" s="54"/>
      <c r="BG60" s="54"/>
      <c r="BI60" s="54"/>
      <c r="BK60" s="54"/>
      <c r="BL60" s="54"/>
      <c r="BM60" s="54"/>
      <c r="BN60" s="54"/>
      <c r="BO60" s="54"/>
      <c r="BP60" s="54"/>
      <c r="BS60" s="54"/>
      <c r="BT60" s="54"/>
      <c r="BU60" s="54"/>
      <c r="BV60" s="54"/>
      <c r="BW60" s="54"/>
    </row>
    <row r="61" spans="1:75" x14ac:dyDescent="0.25">
      <c r="A61" s="83" t="s">
        <v>509</v>
      </c>
      <c r="B61" s="83"/>
      <c r="C61" s="83" t="s">
        <v>83</v>
      </c>
      <c r="D61" s="83" t="s">
        <v>78</v>
      </c>
      <c r="E61" s="54" t="str">
        <f>_xlfn.CONCAT(Table1[[#This Row],[Geographic Scope]],": ",Table1[[#This Row],[Sub-Type/Focus]])</f>
        <v>State: Multiple Related Topics</v>
      </c>
      <c r="F61" s="55">
        <f>Table1[[#This Row],[Total Contributed Income]]+Table1[[#This Row],[Total Earned Income]]</f>
        <v>1045656</v>
      </c>
      <c r="G61" s="84">
        <f>IFERROR((Table1[[#This Row],[Cont. Income - Foundation]]+Table1[[#This Row],[Cont. Income - Membership]]+Table1[[#This Row],[Cont. Income - Small Donors]]+Table1[[#This Row],[Cont. Income - Med. Donors]]+Table1[[#This Row],[Cont. Income - Major Donors]]+Table1[[#This Row],[Cont. Income - Other]]),0)</f>
        <v>1045656</v>
      </c>
      <c r="H61" s="84">
        <f>IFERROR((Table1[[#This Row],[Earned Income - Advertising]]+Table1[[#This Row],[Earned Income - Sponsorships/Underwriting]]+Table1[[#This Row],[Earned Income - Events]]+Table1[[#This Row],[Earned Income - Subscriptions]]+Table1[[#This Row],[Earned Income - Syndication]]+Table1[[#This Row],[Earned Income - Other TOTAL]]),0)</f>
        <v>0</v>
      </c>
      <c r="I61" s="71">
        <v>970000</v>
      </c>
      <c r="J61" s="71">
        <v>0</v>
      </c>
      <c r="K61" s="71">
        <v>1656</v>
      </c>
      <c r="L61" s="71">
        <v>6500</v>
      </c>
      <c r="M61" s="71">
        <v>67500</v>
      </c>
      <c r="N61" s="71">
        <v>0</v>
      </c>
      <c r="O61" s="76" t="s">
        <v>406</v>
      </c>
      <c r="P61" s="71">
        <v>0</v>
      </c>
      <c r="Q61" s="71">
        <v>0</v>
      </c>
      <c r="R61" s="71">
        <v>0</v>
      </c>
      <c r="S61" s="71">
        <v>0</v>
      </c>
      <c r="T61" s="71">
        <v>0</v>
      </c>
      <c r="U61" s="85">
        <f>IFERROR(Table1[[#This Row],[Earned Income - Training Fees]]+Table1[[#This Row],[Earned Income - Fees]]+Table1[[#This Row],[Earned Income - Investments]]+Table1[[#This Row],[Earned Income - Other]],0)</f>
        <v>0</v>
      </c>
      <c r="V61" s="71">
        <v>0</v>
      </c>
      <c r="W61" s="71">
        <v>0</v>
      </c>
      <c r="X61" s="83" t="s">
        <v>406</v>
      </c>
      <c r="Y61" s="71">
        <v>0</v>
      </c>
      <c r="Z61" s="71">
        <v>0</v>
      </c>
      <c r="AA61" s="83" t="s">
        <v>406</v>
      </c>
      <c r="AB61" s="85">
        <f t="shared" si="1"/>
        <v>573000</v>
      </c>
      <c r="AC61" s="71">
        <v>280000</v>
      </c>
      <c r="AD61" s="85">
        <f>SUM(Table1[[#This Row],[Expenses - Revenue Generation]:[Expenses - Admin]])</f>
        <v>293000</v>
      </c>
      <c r="AE61" s="71">
        <v>150000</v>
      </c>
      <c r="AF61" s="71">
        <v>26000</v>
      </c>
      <c r="AG61" s="71">
        <v>117000</v>
      </c>
      <c r="AH61" s="72">
        <f>Table1[[#This Row],[Total FTE - Editorial]]+Table1[[#This Row],[Total FTE - Non-Editorial]]</f>
        <v>9.5</v>
      </c>
      <c r="AI61" s="72">
        <f>Table1[[#This Row],[FTE Salaried - Editorial]]+Table1[[#This Row],[FTE Contractors - Editorial]]</f>
        <v>7</v>
      </c>
      <c r="AJ61" s="56">
        <v>7</v>
      </c>
      <c r="AK61" s="56">
        <v>0</v>
      </c>
      <c r="AL61" s="57">
        <f>Table1[[#This Row],[FTE Salaried - Non-Editorial]]+Table1[[#This Row],[FTE Contractors - Non-Editorial]]</f>
        <v>2.5</v>
      </c>
      <c r="AM61" s="56">
        <v>2.5</v>
      </c>
      <c r="AN61" s="56">
        <v>0</v>
      </c>
      <c r="AO61" s="83" t="s">
        <v>342</v>
      </c>
      <c r="AP61" s="83" t="s">
        <v>406</v>
      </c>
      <c r="AQ61" s="73">
        <v>15000</v>
      </c>
      <c r="AR61" s="73">
        <v>3600</v>
      </c>
      <c r="AS61" s="73">
        <v>0</v>
      </c>
      <c r="AT61" s="73">
        <v>0</v>
      </c>
      <c r="AU61" s="73">
        <v>20000</v>
      </c>
      <c r="AV61" s="83" t="s">
        <v>510</v>
      </c>
      <c r="BC61" s="54"/>
      <c r="BD61" s="54"/>
      <c r="BE61" s="54"/>
      <c r="BF61" s="54"/>
      <c r="BG61" s="54"/>
      <c r="BI61" s="54"/>
      <c r="BK61" s="54"/>
      <c r="BL61" s="54"/>
      <c r="BM61" s="54"/>
      <c r="BN61" s="54"/>
      <c r="BO61" s="54"/>
      <c r="BP61" s="54"/>
      <c r="BS61" s="54"/>
      <c r="BT61" s="54"/>
      <c r="BU61" s="54"/>
      <c r="BV61" s="54"/>
      <c r="BW61" s="54"/>
    </row>
    <row r="62" spans="1:75" x14ac:dyDescent="0.25">
      <c r="A62" s="83" t="s">
        <v>511</v>
      </c>
      <c r="B62" s="83"/>
      <c r="C62" s="83" t="s">
        <v>7</v>
      </c>
      <c r="D62" s="83" t="s">
        <v>77</v>
      </c>
      <c r="E62" s="54" t="str">
        <f>_xlfn.CONCAT(Table1[[#This Row],[Geographic Scope]],": ",Table1[[#This Row],[Sub-Type/Focus]])</f>
        <v>Local: General</v>
      </c>
      <c r="F62" s="55">
        <f>Table1[[#This Row],[Total Contributed Income]]+Table1[[#This Row],[Total Earned Income]]</f>
        <v>69883</v>
      </c>
      <c r="G62" s="84">
        <f>IFERROR((Table1[[#This Row],[Cont. Income - Foundation]]+Table1[[#This Row],[Cont. Income - Membership]]+Table1[[#This Row],[Cont. Income - Small Donors]]+Table1[[#This Row],[Cont. Income - Med. Donors]]+Table1[[#This Row],[Cont. Income - Major Donors]]+Table1[[#This Row],[Cont. Income - Other]]),0)</f>
        <v>52290</v>
      </c>
      <c r="H62" s="84">
        <f>IFERROR((Table1[[#This Row],[Earned Income - Advertising]]+Table1[[#This Row],[Earned Income - Sponsorships/Underwriting]]+Table1[[#This Row],[Earned Income - Events]]+Table1[[#This Row],[Earned Income - Subscriptions]]+Table1[[#This Row],[Earned Income - Syndication]]+Table1[[#This Row],[Earned Income - Other TOTAL]]),0)</f>
        <v>17593</v>
      </c>
      <c r="I62" s="71">
        <v>2770</v>
      </c>
      <c r="J62" s="71">
        <v>9515</v>
      </c>
      <c r="K62" s="71">
        <v>22964</v>
      </c>
      <c r="L62" s="71">
        <v>5250</v>
      </c>
      <c r="M62" s="71">
        <v>11791</v>
      </c>
      <c r="N62" s="71">
        <v>0</v>
      </c>
      <c r="O62" s="76" t="s">
        <v>406</v>
      </c>
      <c r="P62" s="71">
        <v>16212</v>
      </c>
      <c r="Q62" s="71">
        <v>0</v>
      </c>
      <c r="R62" s="71">
        <v>0</v>
      </c>
      <c r="S62" s="71">
        <v>1381</v>
      </c>
      <c r="T62" s="71">
        <v>0</v>
      </c>
      <c r="U62" s="85">
        <f>IFERROR(Table1[[#This Row],[Earned Income - Training Fees]]+Table1[[#This Row],[Earned Income - Fees]]+Table1[[#This Row],[Earned Income - Investments]]+Table1[[#This Row],[Earned Income - Other]],0)</f>
        <v>0</v>
      </c>
      <c r="V62" s="71">
        <v>0</v>
      </c>
      <c r="W62" s="71">
        <v>0</v>
      </c>
      <c r="X62" s="83" t="s">
        <v>406</v>
      </c>
      <c r="Y62" s="71">
        <v>0</v>
      </c>
      <c r="Z62" s="71">
        <v>0</v>
      </c>
      <c r="AA62" s="83" t="s">
        <v>406</v>
      </c>
      <c r="AB62" s="85">
        <f t="shared" si="1"/>
        <v>50476</v>
      </c>
      <c r="AC62" s="71">
        <v>6954</v>
      </c>
      <c r="AD62" s="85">
        <f>SUM(Table1[[#This Row],[Expenses - Revenue Generation]:[Expenses - Admin]])</f>
        <v>43522</v>
      </c>
      <c r="AE62" s="71">
        <v>6670</v>
      </c>
      <c r="AF62" s="71">
        <v>2594</v>
      </c>
      <c r="AG62" s="71">
        <v>34258</v>
      </c>
      <c r="AH62" s="72">
        <f>Table1[[#This Row],[Total FTE - Editorial]]+Table1[[#This Row],[Total FTE - Non-Editorial]]</f>
        <v>1.25</v>
      </c>
      <c r="AI62" s="72">
        <f>Table1[[#This Row],[FTE Salaried - Editorial]]+Table1[[#This Row],[FTE Contractors - Editorial]]</f>
        <v>0.75</v>
      </c>
      <c r="AJ62" s="56">
        <v>0.5</v>
      </c>
      <c r="AK62" s="56">
        <v>0.25</v>
      </c>
      <c r="AL62" s="57">
        <f>Table1[[#This Row],[FTE Salaried - Non-Editorial]]+Table1[[#This Row],[FTE Contractors - Non-Editorial]]</f>
        <v>0.5</v>
      </c>
      <c r="AM62" s="56">
        <v>0</v>
      </c>
      <c r="AN62" s="56">
        <v>0.5</v>
      </c>
      <c r="AO62" s="83" t="s">
        <v>394</v>
      </c>
      <c r="AP62" s="83" t="s">
        <v>406</v>
      </c>
      <c r="AQ62" s="73">
        <v>791</v>
      </c>
      <c r="AR62" s="73">
        <v>530</v>
      </c>
      <c r="AS62" s="73">
        <v>26000</v>
      </c>
      <c r="AT62" s="73">
        <v>10</v>
      </c>
      <c r="AU62" s="73">
        <v>4000</v>
      </c>
      <c r="AV62" s="83" t="s">
        <v>512</v>
      </c>
      <c r="BC62" s="54"/>
      <c r="BD62" s="54"/>
      <c r="BE62" s="54"/>
      <c r="BF62" s="54"/>
      <c r="BG62" s="54"/>
      <c r="BI62" s="54"/>
      <c r="BK62" s="54"/>
      <c r="BL62" s="54"/>
      <c r="BM62" s="54"/>
      <c r="BN62" s="54"/>
      <c r="BO62" s="54"/>
      <c r="BP62" s="54"/>
      <c r="BS62" s="54"/>
      <c r="BT62" s="54"/>
      <c r="BU62" s="54"/>
      <c r="BV62" s="54"/>
      <c r="BW62" s="54"/>
    </row>
    <row r="63" spans="1:75" x14ac:dyDescent="0.25">
      <c r="A63" s="83" t="s">
        <v>513</v>
      </c>
      <c r="B63" s="83"/>
      <c r="C63" s="83" t="s">
        <v>83</v>
      </c>
      <c r="D63" s="83" t="s">
        <v>78</v>
      </c>
      <c r="E63" s="54" t="str">
        <f>_xlfn.CONCAT(Table1[[#This Row],[Geographic Scope]],": ",Table1[[#This Row],[Sub-Type/Focus]])</f>
        <v>State: Multiple Related Topics</v>
      </c>
      <c r="F63" s="55">
        <f>Table1[[#This Row],[Total Contributed Income]]+Table1[[#This Row],[Total Earned Income]]</f>
        <v>263937</v>
      </c>
      <c r="G63" s="84">
        <f>IFERROR((Table1[[#This Row],[Cont. Income - Foundation]]+Table1[[#This Row],[Cont. Income - Membership]]+Table1[[#This Row],[Cont. Income - Small Donors]]+Table1[[#This Row],[Cont. Income - Med. Donors]]+Table1[[#This Row],[Cont. Income - Major Donors]]+Table1[[#This Row],[Cont. Income - Other]]),0)</f>
        <v>263937</v>
      </c>
      <c r="H63" s="84">
        <f>IFERROR((Table1[[#This Row],[Earned Income - Advertising]]+Table1[[#This Row],[Earned Income - Sponsorships/Underwriting]]+Table1[[#This Row],[Earned Income - Events]]+Table1[[#This Row],[Earned Income - Subscriptions]]+Table1[[#This Row],[Earned Income - Syndication]]+Table1[[#This Row],[Earned Income - Other TOTAL]]),0)</f>
        <v>0</v>
      </c>
      <c r="I63" s="71">
        <v>152100</v>
      </c>
      <c r="J63" s="71">
        <v>0</v>
      </c>
      <c r="K63" s="71">
        <v>57178</v>
      </c>
      <c r="L63" s="71">
        <v>54659</v>
      </c>
      <c r="M63" s="71">
        <v>0</v>
      </c>
      <c r="N63" s="71">
        <v>0</v>
      </c>
      <c r="O63" s="76" t="s">
        <v>406</v>
      </c>
      <c r="P63" s="71">
        <v>0</v>
      </c>
      <c r="Q63" s="71">
        <v>0</v>
      </c>
      <c r="R63" s="71">
        <v>0</v>
      </c>
      <c r="S63" s="71">
        <v>0</v>
      </c>
      <c r="T63" s="71">
        <v>0</v>
      </c>
      <c r="U63" s="85">
        <f>IFERROR(Table1[[#This Row],[Earned Income - Training Fees]]+Table1[[#This Row],[Earned Income - Fees]]+Table1[[#This Row],[Earned Income - Investments]]+Table1[[#This Row],[Earned Income - Other]],0)</f>
        <v>0</v>
      </c>
      <c r="V63" s="71">
        <v>0</v>
      </c>
      <c r="W63" s="71">
        <v>0</v>
      </c>
      <c r="X63" s="83" t="s">
        <v>406</v>
      </c>
      <c r="Y63" s="71">
        <v>0</v>
      </c>
      <c r="Z63" s="71">
        <v>0</v>
      </c>
      <c r="AA63" s="83" t="s">
        <v>406</v>
      </c>
      <c r="AB63" s="85">
        <f t="shared" si="1"/>
        <v>245000</v>
      </c>
      <c r="AC63" s="71">
        <v>150000</v>
      </c>
      <c r="AD63" s="85">
        <f>SUM(Table1[[#This Row],[Expenses - Revenue Generation]:[Expenses - Admin]])</f>
        <v>95000</v>
      </c>
      <c r="AE63" s="71">
        <v>50000</v>
      </c>
      <c r="AF63" s="71">
        <v>5000</v>
      </c>
      <c r="AG63" s="71">
        <v>40000</v>
      </c>
      <c r="AH63" s="72">
        <f>Table1[[#This Row],[Total FTE - Editorial]]+Table1[[#This Row],[Total FTE - Non-Editorial]]</f>
        <v>3</v>
      </c>
      <c r="AI63" s="72">
        <f>Table1[[#This Row],[FTE Salaried - Editorial]]+Table1[[#This Row],[FTE Contractors - Editorial]]</f>
        <v>3</v>
      </c>
      <c r="AJ63" s="56">
        <v>3</v>
      </c>
      <c r="AK63" s="56">
        <v>0</v>
      </c>
      <c r="AL63" s="57">
        <f>Table1[[#This Row],[FTE Salaried - Non-Editorial]]+Table1[[#This Row],[FTE Contractors - Non-Editorial]]</f>
        <v>0</v>
      </c>
      <c r="AM63" s="56">
        <v>0</v>
      </c>
      <c r="AN63" s="56">
        <v>0</v>
      </c>
      <c r="AO63" s="83" t="s">
        <v>342</v>
      </c>
      <c r="AP63" s="83" t="s">
        <v>406</v>
      </c>
      <c r="AQ63" s="73">
        <v>5100</v>
      </c>
      <c r="AR63" s="73">
        <v>4850</v>
      </c>
      <c r="AS63" s="73">
        <v>0</v>
      </c>
      <c r="AT63" s="73">
        <v>0</v>
      </c>
      <c r="AU63" s="73">
        <v>0</v>
      </c>
      <c r="AV63" s="83" t="s">
        <v>406</v>
      </c>
      <c r="BC63" s="54"/>
      <c r="BD63" s="54"/>
      <c r="BE63" s="54"/>
      <c r="BF63" s="54"/>
      <c r="BG63" s="54"/>
      <c r="BI63" s="54"/>
      <c r="BK63" s="54"/>
      <c r="BL63" s="54"/>
      <c r="BM63" s="54"/>
      <c r="BN63" s="54"/>
      <c r="BO63" s="54"/>
      <c r="BP63" s="54"/>
      <c r="BS63" s="54"/>
      <c r="BT63" s="54"/>
      <c r="BU63" s="54"/>
      <c r="BV63" s="54"/>
      <c r="BW63" s="54"/>
    </row>
    <row r="64" spans="1:75" x14ac:dyDescent="0.25">
      <c r="A64" s="83" t="s">
        <v>514</v>
      </c>
      <c r="B64" s="83"/>
      <c r="C64" s="83" t="s">
        <v>6</v>
      </c>
      <c r="D64" s="83" t="s">
        <v>77</v>
      </c>
      <c r="E64" s="54" t="str">
        <f>_xlfn.CONCAT(Table1[[#This Row],[Geographic Scope]],": ",Table1[[#This Row],[Sub-Type/Focus]])</f>
        <v>National: General</v>
      </c>
      <c r="F64" s="55">
        <f>Table1[[#This Row],[Total Contributed Income]]+Table1[[#This Row],[Total Earned Income]]</f>
        <v>34001977</v>
      </c>
      <c r="G64" s="84">
        <f>IFERROR((Table1[[#This Row],[Cont. Income - Foundation]]+Table1[[#This Row],[Cont. Income - Membership]]+Table1[[#This Row],[Cont. Income - Small Donors]]+Table1[[#This Row],[Cont. Income - Med. Donors]]+Table1[[#This Row],[Cont. Income - Major Donors]]+Table1[[#This Row],[Cont. Income - Other]]),0)</f>
        <v>33068977</v>
      </c>
      <c r="H64" s="84">
        <f>IFERROR((Table1[[#This Row],[Earned Income - Advertising]]+Table1[[#This Row],[Earned Income - Sponsorships/Underwriting]]+Table1[[#This Row],[Earned Income - Events]]+Table1[[#This Row],[Earned Income - Subscriptions]]+Table1[[#This Row],[Earned Income - Syndication]]+Table1[[#This Row],[Earned Income - Other TOTAL]]),0)</f>
        <v>933000</v>
      </c>
      <c r="I64" s="71">
        <v>7259918</v>
      </c>
      <c r="J64" s="71">
        <v>0</v>
      </c>
      <c r="K64" s="71">
        <v>3313187</v>
      </c>
      <c r="L64" s="71">
        <v>1854747</v>
      </c>
      <c r="M64" s="71">
        <v>18969754</v>
      </c>
      <c r="N64" s="71">
        <v>1671371</v>
      </c>
      <c r="O64" s="76" t="s">
        <v>515</v>
      </c>
      <c r="P64" s="71">
        <v>93000</v>
      </c>
      <c r="Q64" s="71">
        <v>0</v>
      </c>
      <c r="R64" s="71">
        <v>0</v>
      </c>
      <c r="S64" s="71">
        <v>0</v>
      </c>
      <c r="T64" s="71">
        <v>0</v>
      </c>
      <c r="U64" s="85">
        <f>IFERROR(Table1[[#This Row],[Earned Income - Training Fees]]+Table1[[#This Row],[Earned Income - Fees]]+Table1[[#This Row],[Earned Income - Investments]]+Table1[[#This Row],[Earned Income - Other]],0)</f>
        <v>840000</v>
      </c>
      <c r="V64" s="71">
        <v>0</v>
      </c>
      <c r="W64" s="71">
        <v>325000</v>
      </c>
      <c r="X64" s="83" t="s">
        <v>516</v>
      </c>
      <c r="Y64" s="71">
        <v>515000</v>
      </c>
      <c r="Z64" s="71">
        <v>0</v>
      </c>
      <c r="AA64" s="83" t="s">
        <v>406</v>
      </c>
      <c r="AB64" s="85">
        <f t="shared" si="1"/>
        <v>28000000</v>
      </c>
      <c r="AC64" s="71">
        <v>24000000</v>
      </c>
      <c r="AD64" s="85">
        <f>SUM(Table1[[#This Row],[Expenses - Revenue Generation]:[Expenses - Admin]])</f>
        <v>4000000</v>
      </c>
      <c r="AE64" s="71">
        <v>0</v>
      </c>
      <c r="AF64" s="71">
        <v>0</v>
      </c>
      <c r="AG64" s="71">
        <v>4000000</v>
      </c>
      <c r="AH64" s="72">
        <f>Table1[[#This Row],[Total FTE - Editorial]]+Table1[[#This Row],[Total FTE - Non-Editorial]]</f>
        <v>136</v>
      </c>
      <c r="AI64" s="72">
        <f>Table1[[#This Row],[FTE Salaried - Editorial]]+Table1[[#This Row],[FTE Contractors - Editorial]]</f>
        <v>119</v>
      </c>
      <c r="AJ64" s="56">
        <v>119</v>
      </c>
      <c r="AK64" s="56">
        <v>0</v>
      </c>
      <c r="AL64" s="57">
        <f>Table1[[#This Row],[FTE Salaried - Non-Editorial]]+Table1[[#This Row],[FTE Contractors - Non-Editorial]]</f>
        <v>17</v>
      </c>
      <c r="AM64" s="56">
        <v>17</v>
      </c>
      <c r="AN64" s="56">
        <v>0</v>
      </c>
      <c r="AO64" s="83" t="s">
        <v>342</v>
      </c>
      <c r="AP64" s="83" t="s">
        <v>406</v>
      </c>
      <c r="AQ64" s="73">
        <v>2500000</v>
      </c>
      <c r="AR64" s="73">
        <v>250000</v>
      </c>
      <c r="AS64" s="73">
        <v>0</v>
      </c>
      <c r="AT64" s="73">
        <v>0</v>
      </c>
      <c r="AU64" s="73">
        <v>0</v>
      </c>
      <c r="AV64" s="83" t="s">
        <v>406</v>
      </c>
      <c r="BC64" s="54"/>
      <c r="BD64" s="54"/>
      <c r="BE64" s="54"/>
      <c r="BF64" s="54"/>
      <c r="BG64" s="54"/>
      <c r="BI64" s="54"/>
      <c r="BK64" s="54"/>
      <c r="BL64" s="54"/>
      <c r="BM64" s="54"/>
      <c r="BN64" s="54"/>
      <c r="BO64" s="54"/>
      <c r="BP64" s="54"/>
      <c r="BS64" s="54"/>
      <c r="BT64" s="54"/>
      <c r="BU64" s="54"/>
      <c r="BV64" s="54"/>
      <c r="BW64" s="54"/>
    </row>
    <row r="65" spans="1:75" x14ac:dyDescent="0.25">
      <c r="A65" s="83" t="s">
        <v>517</v>
      </c>
      <c r="B65" s="83"/>
      <c r="C65" s="83" t="s">
        <v>7</v>
      </c>
      <c r="D65" s="83" t="s">
        <v>77</v>
      </c>
      <c r="E65" s="54" t="str">
        <f>_xlfn.CONCAT(Table1[[#This Row],[Geographic Scope]],": ",Table1[[#This Row],[Sub-Type/Focus]])</f>
        <v>Local: General</v>
      </c>
      <c r="F65" s="55">
        <f>Table1[[#This Row],[Total Contributed Income]]+Table1[[#This Row],[Total Earned Income]]</f>
        <v>2276183</v>
      </c>
      <c r="G65" s="84">
        <f>IFERROR((Table1[[#This Row],[Cont. Income - Foundation]]+Table1[[#This Row],[Cont. Income - Membership]]+Table1[[#This Row],[Cont. Income - Small Donors]]+Table1[[#This Row],[Cont. Income - Med. Donors]]+Table1[[#This Row],[Cont. Income - Major Donors]]+Table1[[#This Row],[Cont. Income - Other]]),0)</f>
        <v>1485668</v>
      </c>
      <c r="H65" s="84">
        <f>IFERROR((Table1[[#This Row],[Earned Income - Advertising]]+Table1[[#This Row],[Earned Income - Sponsorships/Underwriting]]+Table1[[#This Row],[Earned Income - Events]]+Table1[[#This Row],[Earned Income - Subscriptions]]+Table1[[#This Row],[Earned Income - Syndication]]+Table1[[#This Row],[Earned Income - Other TOTAL]]),0)</f>
        <v>790515</v>
      </c>
      <c r="I65" s="71">
        <v>774435</v>
      </c>
      <c r="J65" s="71">
        <v>379447</v>
      </c>
      <c r="K65" s="71">
        <v>0</v>
      </c>
      <c r="L65" s="71">
        <v>85286</v>
      </c>
      <c r="M65" s="71">
        <v>246500</v>
      </c>
      <c r="N65" s="71">
        <v>0</v>
      </c>
      <c r="O65" s="76" t="s">
        <v>406</v>
      </c>
      <c r="P65" s="71">
        <v>395304</v>
      </c>
      <c r="Q65" s="71">
        <v>0</v>
      </c>
      <c r="R65" s="71">
        <v>389257</v>
      </c>
      <c r="S65" s="71">
        <v>0</v>
      </c>
      <c r="T65" s="71">
        <v>0</v>
      </c>
      <c r="U65" s="85">
        <f>IFERROR(Table1[[#This Row],[Earned Income - Training Fees]]+Table1[[#This Row],[Earned Income - Fees]]+Table1[[#This Row],[Earned Income - Investments]]+Table1[[#This Row],[Earned Income - Other]],0)</f>
        <v>5954</v>
      </c>
      <c r="V65" s="71">
        <v>0</v>
      </c>
      <c r="W65" s="71">
        <v>0</v>
      </c>
      <c r="X65" s="83" t="s">
        <v>406</v>
      </c>
      <c r="Y65" s="71">
        <v>0</v>
      </c>
      <c r="Z65" s="71">
        <v>5954</v>
      </c>
      <c r="AA65" s="83" t="s">
        <v>518</v>
      </c>
      <c r="AB65" s="85">
        <f t="shared" si="1"/>
        <v>2235243</v>
      </c>
      <c r="AC65" s="71">
        <v>1341991</v>
      </c>
      <c r="AD65" s="85">
        <f>SUM(Table1[[#This Row],[Expenses - Revenue Generation]:[Expenses - Admin]])</f>
        <v>893252</v>
      </c>
      <c r="AE65" s="71">
        <v>513752</v>
      </c>
      <c r="AF65" s="71">
        <v>0</v>
      </c>
      <c r="AG65" s="71">
        <v>379500</v>
      </c>
      <c r="AH65" s="72">
        <f>Table1[[#This Row],[Total FTE - Editorial]]+Table1[[#This Row],[Total FTE - Non-Editorial]]</f>
        <v>19</v>
      </c>
      <c r="AI65" s="72">
        <f>Table1[[#This Row],[FTE Salaried - Editorial]]+Table1[[#This Row],[FTE Contractors - Editorial]]</f>
        <v>14.5</v>
      </c>
      <c r="AJ65" s="56">
        <v>13.5</v>
      </c>
      <c r="AK65" s="56">
        <v>1</v>
      </c>
      <c r="AL65" s="57">
        <f>Table1[[#This Row],[FTE Salaried - Non-Editorial]]+Table1[[#This Row],[FTE Contractors - Non-Editorial]]</f>
        <v>4.5</v>
      </c>
      <c r="AM65" s="56">
        <v>4.5</v>
      </c>
      <c r="AN65" s="56">
        <v>0</v>
      </c>
      <c r="AO65" s="83" t="s">
        <v>342</v>
      </c>
      <c r="AP65" s="83" t="s">
        <v>406</v>
      </c>
      <c r="AQ65" s="73">
        <v>225359</v>
      </c>
      <c r="AR65" s="73">
        <v>21742</v>
      </c>
      <c r="AS65" s="73">
        <v>0</v>
      </c>
      <c r="AT65" s="73">
        <v>0</v>
      </c>
      <c r="AU65" s="73">
        <v>0</v>
      </c>
      <c r="AV65" s="83" t="s">
        <v>406</v>
      </c>
      <c r="BC65" s="54"/>
      <c r="BD65" s="54"/>
      <c r="BE65" s="54"/>
      <c r="BF65" s="54"/>
      <c r="BG65" s="54"/>
      <c r="BI65" s="54"/>
      <c r="BK65" s="54"/>
      <c r="BL65" s="54"/>
      <c r="BM65" s="54"/>
      <c r="BN65" s="54"/>
      <c r="BO65" s="54"/>
      <c r="BP65" s="54"/>
      <c r="BS65" s="54"/>
      <c r="BT65" s="54"/>
      <c r="BU65" s="54"/>
      <c r="BV65" s="54"/>
      <c r="BW65" s="54"/>
    </row>
    <row r="66" spans="1:75" x14ac:dyDescent="0.25">
      <c r="A66" s="83" t="s">
        <v>519</v>
      </c>
      <c r="B66" s="83"/>
      <c r="C66" s="83" t="s">
        <v>7</v>
      </c>
      <c r="D66" s="83" t="s">
        <v>77</v>
      </c>
      <c r="E66" s="54" t="str">
        <f>_xlfn.CONCAT(Table1[[#This Row],[Geographic Scope]],": ",Table1[[#This Row],[Sub-Type/Focus]])</f>
        <v>Local: General</v>
      </c>
      <c r="F66" s="55">
        <f>Table1[[#This Row],[Total Contributed Income]]+Table1[[#This Row],[Total Earned Income]]</f>
        <v>478424</v>
      </c>
      <c r="G66" s="84">
        <f>IFERROR((Table1[[#This Row],[Cont. Income - Foundation]]+Table1[[#This Row],[Cont. Income - Membership]]+Table1[[#This Row],[Cont. Income - Small Donors]]+Table1[[#This Row],[Cont. Income - Med. Donors]]+Table1[[#This Row],[Cont. Income - Major Donors]]+Table1[[#This Row],[Cont. Income - Other]]),0)</f>
        <v>458923</v>
      </c>
      <c r="H66" s="84">
        <f>IFERROR((Table1[[#This Row],[Earned Income - Advertising]]+Table1[[#This Row],[Earned Income - Sponsorships/Underwriting]]+Table1[[#This Row],[Earned Income - Events]]+Table1[[#This Row],[Earned Income - Subscriptions]]+Table1[[#This Row],[Earned Income - Syndication]]+Table1[[#This Row],[Earned Income - Other TOTAL]]),0)</f>
        <v>19501</v>
      </c>
      <c r="I66" s="71">
        <v>332000</v>
      </c>
      <c r="J66" s="71">
        <v>34458</v>
      </c>
      <c r="K66" s="71">
        <v>0</v>
      </c>
      <c r="L66" s="71">
        <v>13465</v>
      </c>
      <c r="M66" s="71">
        <v>79000</v>
      </c>
      <c r="N66" s="71">
        <v>0</v>
      </c>
      <c r="O66" s="76" t="s">
        <v>406</v>
      </c>
      <c r="P66" s="71">
        <v>0</v>
      </c>
      <c r="Q66" s="71">
        <v>0</v>
      </c>
      <c r="R66" s="71">
        <v>3520</v>
      </c>
      <c r="S66" s="71">
        <v>0</v>
      </c>
      <c r="T66" s="71">
        <v>2011</v>
      </c>
      <c r="U66" s="85">
        <f>IFERROR(Table1[[#This Row],[Earned Income - Training Fees]]+Table1[[#This Row],[Earned Income - Fees]]+Table1[[#This Row],[Earned Income - Investments]]+Table1[[#This Row],[Earned Income - Other]],0)</f>
        <v>13970</v>
      </c>
      <c r="V66" s="71">
        <v>0</v>
      </c>
      <c r="W66" s="71">
        <v>11720</v>
      </c>
      <c r="X66" s="83" t="s">
        <v>520</v>
      </c>
      <c r="Y66" s="71">
        <v>0</v>
      </c>
      <c r="Z66" s="71">
        <v>2250</v>
      </c>
      <c r="AA66" s="83" t="s">
        <v>521</v>
      </c>
      <c r="AB66" s="85">
        <f t="shared" ref="AB66:AB97" si="2">SUM(AC66:AD66)</f>
        <v>464922</v>
      </c>
      <c r="AC66" s="71">
        <v>255167</v>
      </c>
      <c r="AD66" s="85">
        <f>SUM(Table1[[#This Row],[Expenses - Revenue Generation]:[Expenses - Admin]])</f>
        <v>209755</v>
      </c>
      <c r="AE66" s="71">
        <v>62000</v>
      </c>
      <c r="AF66" s="71">
        <v>48476</v>
      </c>
      <c r="AG66" s="71">
        <v>99279</v>
      </c>
      <c r="AH66" s="72">
        <f>Table1[[#This Row],[Total FTE - Editorial]]+Table1[[#This Row],[Total FTE - Non-Editorial]]</f>
        <v>9.75</v>
      </c>
      <c r="AI66" s="72">
        <f>Table1[[#This Row],[FTE Salaried - Editorial]]+Table1[[#This Row],[FTE Contractors - Editorial]]</f>
        <v>7.5</v>
      </c>
      <c r="AJ66" s="56">
        <v>4</v>
      </c>
      <c r="AK66" s="56">
        <v>3.5</v>
      </c>
      <c r="AL66" s="57">
        <f>Table1[[#This Row],[FTE Salaried - Non-Editorial]]+Table1[[#This Row],[FTE Contractors - Non-Editorial]]</f>
        <v>2.25</v>
      </c>
      <c r="AM66" s="56">
        <v>2</v>
      </c>
      <c r="AN66" s="56">
        <v>0.25</v>
      </c>
      <c r="AO66" s="83" t="s">
        <v>343</v>
      </c>
      <c r="AP66" s="83" t="s">
        <v>522</v>
      </c>
      <c r="AQ66" s="73">
        <v>8264</v>
      </c>
      <c r="AR66" s="73">
        <v>3600</v>
      </c>
      <c r="AS66" s="73">
        <v>8000</v>
      </c>
      <c r="AT66" s="73">
        <v>4</v>
      </c>
      <c r="AU66" s="73">
        <v>800000</v>
      </c>
      <c r="AV66" s="83" t="s">
        <v>523</v>
      </c>
      <c r="BC66" s="54"/>
      <c r="BD66" s="54"/>
      <c r="BE66" s="54"/>
      <c r="BF66" s="54"/>
      <c r="BG66" s="54"/>
      <c r="BI66" s="54"/>
      <c r="BK66" s="54"/>
      <c r="BL66" s="54"/>
      <c r="BM66" s="54"/>
      <c r="BN66" s="54"/>
      <c r="BO66" s="54"/>
      <c r="BP66" s="54"/>
      <c r="BS66" s="54"/>
      <c r="BT66" s="54"/>
      <c r="BU66" s="54"/>
      <c r="BV66" s="54"/>
      <c r="BW66" s="54"/>
    </row>
    <row r="67" spans="1:75" x14ac:dyDescent="0.25">
      <c r="A67" s="83" t="s">
        <v>524</v>
      </c>
      <c r="B67" s="83"/>
      <c r="C67" s="83" t="s">
        <v>83</v>
      </c>
      <c r="D67" s="83" t="s">
        <v>77</v>
      </c>
      <c r="E67" s="54" t="str">
        <f>_xlfn.CONCAT(Table1[[#This Row],[Geographic Scope]],": ",Table1[[#This Row],[Sub-Type/Focus]])</f>
        <v>State: General</v>
      </c>
      <c r="F67" s="55">
        <f>Table1[[#This Row],[Total Contributed Income]]+Table1[[#This Row],[Total Earned Income]]</f>
        <v>766043</v>
      </c>
      <c r="G67" s="84">
        <f>IFERROR((Table1[[#This Row],[Cont. Income - Foundation]]+Table1[[#This Row],[Cont. Income - Membership]]+Table1[[#This Row],[Cont. Income - Small Donors]]+Table1[[#This Row],[Cont. Income - Med. Donors]]+Table1[[#This Row],[Cont. Income - Major Donors]]+Table1[[#This Row],[Cont. Income - Other]]),0)</f>
        <v>766043</v>
      </c>
      <c r="H67" s="84">
        <f>IFERROR((Table1[[#This Row],[Earned Income - Advertising]]+Table1[[#This Row],[Earned Income - Sponsorships/Underwriting]]+Table1[[#This Row],[Earned Income - Events]]+Table1[[#This Row],[Earned Income - Subscriptions]]+Table1[[#This Row],[Earned Income - Syndication]]+Table1[[#This Row],[Earned Income - Other TOTAL]]),0)</f>
        <v>0</v>
      </c>
      <c r="I67" s="71">
        <v>689597</v>
      </c>
      <c r="J67" s="71">
        <v>0</v>
      </c>
      <c r="K67" s="71">
        <v>30946</v>
      </c>
      <c r="L67" s="71">
        <v>25000</v>
      </c>
      <c r="M67" s="71">
        <v>20500</v>
      </c>
      <c r="N67" s="71">
        <v>0</v>
      </c>
      <c r="O67" s="76" t="s">
        <v>406</v>
      </c>
      <c r="P67" s="71">
        <v>0</v>
      </c>
      <c r="Q67" s="71">
        <v>0</v>
      </c>
      <c r="R67" s="71">
        <v>0</v>
      </c>
      <c r="S67" s="71">
        <v>0</v>
      </c>
      <c r="T67" s="71">
        <v>0</v>
      </c>
      <c r="U67" s="85">
        <f>IFERROR(Table1[[#This Row],[Earned Income - Training Fees]]+Table1[[#This Row],[Earned Income - Fees]]+Table1[[#This Row],[Earned Income - Investments]]+Table1[[#This Row],[Earned Income - Other]],0)</f>
        <v>0</v>
      </c>
      <c r="V67" s="71">
        <v>0</v>
      </c>
      <c r="W67" s="71">
        <v>0</v>
      </c>
      <c r="X67" s="83" t="s">
        <v>406</v>
      </c>
      <c r="Y67" s="71">
        <v>0</v>
      </c>
      <c r="Z67" s="71">
        <v>0</v>
      </c>
      <c r="AA67" s="83" t="s">
        <v>406</v>
      </c>
      <c r="AB67" s="85">
        <f t="shared" si="2"/>
        <v>719928</v>
      </c>
      <c r="AC67" s="71">
        <v>530222</v>
      </c>
      <c r="AD67" s="85">
        <f>SUM(Table1[[#This Row],[Expenses - Revenue Generation]:[Expenses - Admin]])</f>
        <v>189706</v>
      </c>
      <c r="AE67" s="71">
        <v>23133</v>
      </c>
      <c r="AF67" s="71">
        <v>37000</v>
      </c>
      <c r="AG67" s="71">
        <v>129573</v>
      </c>
      <c r="AH67" s="72">
        <f>Table1[[#This Row],[Total FTE - Editorial]]+Table1[[#This Row],[Total FTE - Non-Editorial]]</f>
        <v>7</v>
      </c>
      <c r="AI67" s="72">
        <f>Table1[[#This Row],[FTE Salaried - Editorial]]+Table1[[#This Row],[FTE Contractors - Editorial]]</f>
        <v>6</v>
      </c>
      <c r="AJ67" s="56">
        <v>5</v>
      </c>
      <c r="AK67" s="56">
        <v>1</v>
      </c>
      <c r="AL67" s="57">
        <f>Table1[[#This Row],[FTE Salaried - Non-Editorial]]+Table1[[#This Row],[FTE Contractors - Non-Editorial]]</f>
        <v>1</v>
      </c>
      <c r="AM67" s="56">
        <v>1</v>
      </c>
      <c r="AN67" s="56">
        <v>0</v>
      </c>
      <c r="AO67" s="83" t="s">
        <v>343</v>
      </c>
      <c r="AP67" s="83" t="s">
        <v>525</v>
      </c>
      <c r="AQ67" s="73">
        <v>7000</v>
      </c>
      <c r="AR67" s="73">
        <v>1950</v>
      </c>
      <c r="AS67" s="73">
        <v>2000</v>
      </c>
      <c r="AT67" s="73">
        <v>1</v>
      </c>
      <c r="AU67" s="73">
        <v>0</v>
      </c>
      <c r="AV67" s="83" t="s">
        <v>406</v>
      </c>
      <c r="BC67" s="54"/>
      <c r="BD67" s="54"/>
      <c r="BE67" s="54"/>
      <c r="BF67" s="54"/>
      <c r="BG67" s="54"/>
      <c r="BI67" s="54"/>
      <c r="BK67" s="54"/>
      <c r="BL67" s="54"/>
      <c r="BM67" s="54"/>
      <c r="BN67" s="54"/>
      <c r="BO67" s="54"/>
      <c r="BP67" s="54"/>
      <c r="BS67" s="54"/>
      <c r="BT67" s="54"/>
      <c r="BU67" s="54"/>
      <c r="BV67" s="54"/>
      <c r="BW67" s="54"/>
    </row>
    <row r="68" spans="1:75" x14ac:dyDescent="0.25">
      <c r="A68" s="83" t="s">
        <v>526</v>
      </c>
      <c r="B68" s="83"/>
      <c r="C68" s="83" t="s">
        <v>6</v>
      </c>
      <c r="D68" s="83" t="s">
        <v>78</v>
      </c>
      <c r="E68" s="54" t="str">
        <f>_xlfn.CONCAT(Table1[[#This Row],[Geographic Scope]],": ",Table1[[#This Row],[Sub-Type/Focus]])</f>
        <v>National: Multiple Related Topics</v>
      </c>
      <c r="F68" s="55">
        <f>Table1[[#This Row],[Total Contributed Income]]+Table1[[#This Row],[Total Earned Income]]</f>
        <v>604847.67999999993</v>
      </c>
      <c r="G68" s="84">
        <f>IFERROR((Table1[[#This Row],[Cont. Income - Foundation]]+Table1[[#This Row],[Cont. Income - Membership]]+Table1[[#This Row],[Cont. Income - Small Donors]]+Table1[[#This Row],[Cont. Income - Med. Donors]]+Table1[[#This Row],[Cont. Income - Major Donors]]+Table1[[#This Row],[Cont. Income - Other]]),0)</f>
        <v>432601.68</v>
      </c>
      <c r="H68" s="84">
        <f>IFERROR((Table1[[#This Row],[Earned Income - Advertising]]+Table1[[#This Row],[Earned Income - Sponsorships/Underwriting]]+Table1[[#This Row],[Earned Income - Events]]+Table1[[#This Row],[Earned Income - Subscriptions]]+Table1[[#This Row],[Earned Income - Syndication]]+Table1[[#This Row],[Earned Income - Other TOTAL]]),0)</f>
        <v>172246</v>
      </c>
      <c r="I68" s="71">
        <v>425000</v>
      </c>
      <c r="J68" s="71">
        <v>0</v>
      </c>
      <c r="K68" s="71">
        <v>6554.18</v>
      </c>
      <c r="L68" s="71">
        <v>1047.5</v>
      </c>
      <c r="M68" s="71">
        <v>0</v>
      </c>
      <c r="N68" s="71">
        <v>0</v>
      </c>
      <c r="O68" s="76" t="s">
        <v>406</v>
      </c>
      <c r="P68" s="71">
        <v>28034</v>
      </c>
      <c r="Q68" s="71">
        <v>0</v>
      </c>
      <c r="R68" s="71">
        <v>0</v>
      </c>
      <c r="S68" s="71">
        <v>23812</v>
      </c>
      <c r="T68" s="71">
        <v>0</v>
      </c>
      <c r="U68" s="85">
        <f>IFERROR(Table1[[#This Row],[Earned Income - Training Fees]]+Table1[[#This Row],[Earned Income - Fees]]+Table1[[#This Row],[Earned Income - Investments]]+Table1[[#This Row],[Earned Income - Other]],0)</f>
        <v>120400</v>
      </c>
      <c r="V68" s="71">
        <v>0</v>
      </c>
      <c r="W68" s="71">
        <v>0</v>
      </c>
      <c r="X68" s="83" t="s">
        <v>406</v>
      </c>
      <c r="Y68" s="71">
        <v>400</v>
      </c>
      <c r="Z68" s="71">
        <v>120000</v>
      </c>
      <c r="AA68" s="83" t="s">
        <v>527</v>
      </c>
      <c r="AB68" s="85">
        <f t="shared" si="2"/>
        <v>444000</v>
      </c>
      <c r="AC68" s="71">
        <v>400000</v>
      </c>
      <c r="AD68" s="85">
        <f>SUM(Table1[[#This Row],[Expenses - Revenue Generation]:[Expenses - Admin]])</f>
        <v>44000</v>
      </c>
      <c r="AE68" s="71">
        <v>25000</v>
      </c>
      <c r="AF68" s="71">
        <v>0</v>
      </c>
      <c r="AG68" s="71">
        <v>19000</v>
      </c>
      <c r="AH68" s="72">
        <f>Table1[[#This Row],[Total FTE - Editorial]]+Table1[[#This Row],[Total FTE - Non-Editorial]]</f>
        <v>5.375</v>
      </c>
      <c r="AI68" s="72">
        <f>Table1[[#This Row],[FTE Salaried - Editorial]]+Table1[[#This Row],[FTE Contractors - Editorial]]</f>
        <v>3.375</v>
      </c>
      <c r="AJ68" s="56">
        <v>3.375</v>
      </c>
      <c r="AK68" s="56">
        <v>0</v>
      </c>
      <c r="AL68" s="57">
        <f>Table1[[#This Row],[FTE Salaried - Non-Editorial]]+Table1[[#This Row],[FTE Contractors - Non-Editorial]]</f>
        <v>2</v>
      </c>
      <c r="AM68" s="56">
        <v>2</v>
      </c>
      <c r="AN68" s="56">
        <v>0</v>
      </c>
      <c r="AO68" s="83" t="s">
        <v>342</v>
      </c>
      <c r="AP68" s="83" t="s">
        <v>406</v>
      </c>
      <c r="AQ68" s="73">
        <v>60000</v>
      </c>
      <c r="AR68" s="73">
        <v>11000</v>
      </c>
      <c r="AS68" s="73">
        <v>2000</v>
      </c>
      <c r="AT68" s="73">
        <v>4</v>
      </c>
      <c r="AU68" s="73">
        <v>0</v>
      </c>
      <c r="AV68" s="83" t="s">
        <v>406</v>
      </c>
      <c r="BC68" s="54"/>
      <c r="BD68" s="54"/>
      <c r="BE68" s="54"/>
      <c r="BF68" s="54"/>
      <c r="BG68" s="54"/>
      <c r="BI68" s="54"/>
      <c r="BK68" s="54"/>
      <c r="BL68" s="54"/>
      <c r="BM68" s="54"/>
      <c r="BN68" s="54"/>
      <c r="BO68" s="54"/>
      <c r="BP68" s="54"/>
      <c r="BS68" s="54"/>
      <c r="BT68" s="54"/>
      <c r="BU68" s="54"/>
      <c r="BV68" s="54"/>
      <c r="BW68" s="54"/>
    </row>
    <row r="69" spans="1:75" x14ac:dyDescent="0.25">
      <c r="A69" s="83" t="s">
        <v>528</v>
      </c>
      <c r="B69" s="83"/>
      <c r="C69" s="83" t="s">
        <v>378</v>
      </c>
      <c r="D69" s="83" t="s">
        <v>78</v>
      </c>
      <c r="E69" s="54" t="str">
        <f>_xlfn.CONCAT(Table1[[#This Row],[Geographic Scope]],": ",Table1[[#This Row],[Sub-Type/Focus]])</f>
        <v>Regional: Multiple Related Topics</v>
      </c>
      <c r="F69" s="55">
        <f>Table1[[#This Row],[Total Contributed Income]]+Table1[[#This Row],[Total Earned Income]]</f>
        <v>44000</v>
      </c>
      <c r="G69" s="84">
        <f>IFERROR((Table1[[#This Row],[Cont. Income - Foundation]]+Table1[[#This Row],[Cont. Income - Membership]]+Table1[[#This Row],[Cont. Income - Small Donors]]+Table1[[#This Row],[Cont. Income - Med. Donors]]+Table1[[#This Row],[Cont. Income - Major Donors]]+Table1[[#This Row],[Cont. Income - Other]]),0)</f>
        <v>44000</v>
      </c>
      <c r="H69" s="84">
        <f>IFERROR((Table1[[#This Row],[Earned Income - Advertising]]+Table1[[#This Row],[Earned Income - Sponsorships/Underwriting]]+Table1[[#This Row],[Earned Income - Events]]+Table1[[#This Row],[Earned Income - Subscriptions]]+Table1[[#This Row],[Earned Income - Syndication]]+Table1[[#This Row],[Earned Income - Other TOTAL]]),0)</f>
        <v>0</v>
      </c>
      <c r="I69" s="71">
        <v>9000</v>
      </c>
      <c r="J69" s="71">
        <v>0</v>
      </c>
      <c r="K69" s="71">
        <v>30000</v>
      </c>
      <c r="L69" s="71">
        <v>5000</v>
      </c>
      <c r="M69" s="71">
        <v>0</v>
      </c>
      <c r="N69" s="71">
        <v>0</v>
      </c>
      <c r="O69" s="76" t="s">
        <v>406</v>
      </c>
      <c r="P69" s="71">
        <v>0</v>
      </c>
      <c r="Q69" s="71">
        <v>0</v>
      </c>
      <c r="R69" s="71">
        <v>0</v>
      </c>
      <c r="S69" s="71">
        <v>0</v>
      </c>
      <c r="T69" s="71">
        <v>0</v>
      </c>
      <c r="U69" s="85">
        <f>IFERROR(Table1[[#This Row],[Earned Income - Training Fees]]+Table1[[#This Row],[Earned Income - Fees]]+Table1[[#This Row],[Earned Income - Investments]]+Table1[[#This Row],[Earned Income - Other]],0)</f>
        <v>0</v>
      </c>
      <c r="V69" s="71">
        <v>0</v>
      </c>
      <c r="W69" s="71">
        <v>0</v>
      </c>
      <c r="X69" s="83" t="s">
        <v>406</v>
      </c>
      <c r="Y69" s="71">
        <v>0</v>
      </c>
      <c r="Z69" s="71">
        <v>0</v>
      </c>
      <c r="AA69" s="83" t="s">
        <v>406</v>
      </c>
      <c r="AB69" s="85">
        <f t="shared" si="2"/>
        <v>19000</v>
      </c>
      <c r="AC69" s="71">
        <v>13000</v>
      </c>
      <c r="AD69" s="85">
        <f>SUM(Table1[[#This Row],[Expenses - Revenue Generation]:[Expenses - Admin]])</f>
        <v>6000</v>
      </c>
      <c r="AE69" s="71">
        <v>500</v>
      </c>
      <c r="AF69" s="71">
        <v>500</v>
      </c>
      <c r="AG69" s="71">
        <v>5000</v>
      </c>
      <c r="AH69" s="72">
        <f>Table1[[#This Row],[Total FTE - Editorial]]+Table1[[#This Row],[Total FTE - Non-Editorial]]</f>
        <v>0.5</v>
      </c>
      <c r="AI69" s="72">
        <f>Table1[[#This Row],[FTE Salaried - Editorial]]+Table1[[#This Row],[FTE Contractors - Editorial]]</f>
        <v>0.5</v>
      </c>
      <c r="AJ69" s="56">
        <v>0</v>
      </c>
      <c r="AK69" s="56">
        <v>0.5</v>
      </c>
      <c r="AL69" s="57">
        <f>Table1[[#This Row],[FTE Salaried - Non-Editorial]]+Table1[[#This Row],[FTE Contractors - Non-Editorial]]</f>
        <v>0</v>
      </c>
      <c r="AM69" s="56">
        <v>0</v>
      </c>
      <c r="AN69" s="56">
        <v>0</v>
      </c>
      <c r="AO69" s="83" t="s">
        <v>342</v>
      </c>
      <c r="AP69" s="83" t="s">
        <v>406</v>
      </c>
      <c r="AQ69" s="73">
        <v>15000</v>
      </c>
      <c r="AR69" s="73">
        <v>5000</v>
      </c>
      <c r="AS69" s="73">
        <v>0</v>
      </c>
      <c r="AT69" s="73">
        <v>0</v>
      </c>
      <c r="AU69" s="73">
        <v>0</v>
      </c>
      <c r="AV69" s="83" t="s">
        <v>406</v>
      </c>
      <c r="BC69" s="54"/>
      <c r="BD69" s="54"/>
      <c r="BE69" s="54"/>
      <c r="BF69" s="54"/>
      <c r="BG69" s="54"/>
      <c r="BI69" s="54"/>
      <c r="BK69" s="54"/>
      <c r="BL69" s="54"/>
      <c r="BM69" s="54"/>
      <c r="BN69" s="54"/>
      <c r="BO69" s="54"/>
      <c r="BP69" s="54"/>
      <c r="BS69" s="54"/>
      <c r="BT69" s="54"/>
      <c r="BU69" s="54"/>
      <c r="BV69" s="54"/>
      <c r="BW69" s="54"/>
    </row>
    <row r="70" spans="1:75" x14ac:dyDescent="0.25">
      <c r="A70" s="83" t="s">
        <v>529</v>
      </c>
      <c r="B70" s="83"/>
      <c r="C70" s="83" t="s">
        <v>83</v>
      </c>
      <c r="D70" s="83" t="s">
        <v>77</v>
      </c>
      <c r="E70" s="54" t="str">
        <f>_xlfn.CONCAT(Table1[[#This Row],[Geographic Scope]],": ",Table1[[#This Row],[Sub-Type/Focus]])</f>
        <v>State: General</v>
      </c>
      <c r="F70" s="55">
        <f>Table1[[#This Row],[Total Contributed Income]]+Table1[[#This Row],[Total Earned Income]]</f>
        <v>1194466.1000000001</v>
      </c>
      <c r="G70" s="84">
        <f>IFERROR((Table1[[#This Row],[Cont. Income - Foundation]]+Table1[[#This Row],[Cont. Income - Membership]]+Table1[[#This Row],[Cont. Income - Small Donors]]+Table1[[#This Row],[Cont. Income - Med. Donors]]+Table1[[#This Row],[Cont. Income - Major Donors]]+Table1[[#This Row],[Cont. Income - Other]]),0)</f>
        <v>994763.96000000008</v>
      </c>
      <c r="H70" s="84">
        <f>IFERROR((Table1[[#This Row],[Earned Income - Advertising]]+Table1[[#This Row],[Earned Income - Sponsorships/Underwriting]]+Table1[[#This Row],[Earned Income - Events]]+Table1[[#This Row],[Earned Income - Subscriptions]]+Table1[[#This Row],[Earned Income - Syndication]]+Table1[[#This Row],[Earned Income - Other TOTAL]]),0)</f>
        <v>199702.13999999998</v>
      </c>
      <c r="I70" s="71">
        <v>701260</v>
      </c>
      <c r="J70" s="71">
        <v>134741.26</v>
      </c>
      <c r="K70" s="71">
        <v>64810.54</v>
      </c>
      <c r="L70" s="71">
        <v>10000</v>
      </c>
      <c r="M70" s="71">
        <v>70000</v>
      </c>
      <c r="N70" s="71">
        <v>13952.16</v>
      </c>
      <c r="O70" s="76" t="s">
        <v>530</v>
      </c>
      <c r="P70" s="71">
        <v>3400</v>
      </c>
      <c r="Q70" s="71">
        <v>0</v>
      </c>
      <c r="R70" s="71">
        <v>190326.24</v>
      </c>
      <c r="S70" s="71">
        <v>0</v>
      </c>
      <c r="T70" s="71">
        <v>5975.9</v>
      </c>
      <c r="U70" s="85">
        <f>IFERROR(Table1[[#This Row],[Earned Income - Training Fees]]+Table1[[#This Row],[Earned Income - Fees]]+Table1[[#This Row],[Earned Income - Investments]]+Table1[[#This Row],[Earned Income - Other]],0)</f>
        <v>0</v>
      </c>
      <c r="V70" s="71">
        <v>0</v>
      </c>
      <c r="W70" s="71">
        <v>0</v>
      </c>
      <c r="X70" s="83" t="s">
        <v>406</v>
      </c>
      <c r="Y70" s="71">
        <v>0</v>
      </c>
      <c r="Z70" s="71">
        <v>0</v>
      </c>
      <c r="AA70" s="83" t="s">
        <v>406</v>
      </c>
      <c r="AB70" s="85">
        <f t="shared" si="2"/>
        <v>1293544.27</v>
      </c>
      <c r="AC70" s="71">
        <v>785470.92</v>
      </c>
      <c r="AD70" s="85">
        <f>SUM(Table1[[#This Row],[Expenses - Revenue Generation]:[Expenses - Admin]])</f>
        <v>508073.35000000003</v>
      </c>
      <c r="AE70" s="71">
        <v>312454.28000000003</v>
      </c>
      <c r="AF70" s="71">
        <v>11336.75</v>
      </c>
      <c r="AG70" s="71">
        <v>184282.32</v>
      </c>
      <c r="AH70" s="72">
        <f>Table1[[#This Row],[Total FTE - Editorial]]+Table1[[#This Row],[Total FTE - Non-Editorial]]</f>
        <v>15</v>
      </c>
      <c r="AI70" s="72">
        <f>Table1[[#This Row],[FTE Salaried - Editorial]]+Table1[[#This Row],[FTE Contractors - Editorial]]</f>
        <v>11</v>
      </c>
      <c r="AJ70" s="56">
        <v>10</v>
      </c>
      <c r="AK70" s="56">
        <v>1</v>
      </c>
      <c r="AL70" s="57">
        <f>Table1[[#This Row],[FTE Salaried - Non-Editorial]]+Table1[[#This Row],[FTE Contractors - Non-Editorial]]</f>
        <v>4</v>
      </c>
      <c r="AM70" s="56">
        <v>4</v>
      </c>
      <c r="AN70" s="56">
        <v>0</v>
      </c>
      <c r="AO70" s="83" t="s">
        <v>342</v>
      </c>
      <c r="AP70" s="83" t="s">
        <v>406</v>
      </c>
      <c r="AQ70" s="73">
        <v>260179</v>
      </c>
      <c r="AR70" s="73">
        <v>19000</v>
      </c>
      <c r="AS70" s="73">
        <v>26588</v>
      </c>
      <c r="AT70" s="73">
        <v>5</v>
      </c>
      <c r="AU70" s="73">
        <v>0</v>
      </c>
      <c r="AV70" s="83" t="s">
        <v>406</v>
      </c>
      <c r="BC70" s="54"/>
      <c r="BD70" s="54"/>
      <c r="BE70" s="54"/>
      <c r="BF70" s="54"/>
      <c r="BG70" s="54"/>
      <c r="BI70" s="54"/>
      <c r="BK70" s="54"/>
      <c r="BL70" s="54"/>
      <c r="BM70" s="54"/>
      <c r="BN70" s="54"/>
      <c r="BO70" s="54"/>
      <c r="BP70" s="54"/>
      <c r="BS70" s="54"/>
      <c r="BT70" s="54"/>
      <c r="BU70" s="54"/>
      <c r="BV70" s="54"/>
      <c r="BW70" s="54"/>
    </row>
    <row r="71" spans="1:75" x14ac:dyDescent="0.25">
      <c r="A71" s="83" t="s">
        <v>531</v>
      </c>
      <c r="B71" s="83"/>
      <c r="C71" s="83" t="s">
        <v>7</v>
      </c>
      <c r="D71" s="83" t="s">
        <v>78</v>
      </c>
      <c r="E71" s="54" t="str">
        <f>_xlfn.CONCAT(Table1[[#This Row],[Geographic Scope]],": ",Table1[[#This Row],[Sub-Type/Focus]])</f>
        <v>Local: Multiple Related Topics</v>
      </c>
      <c r="F71" s="55">
        <f>Table1[[#This Row],[Total Contributed Income]]+Table1[[#This Row],[Total Earned Income]]</f>
        <v>53651</v>
      </c>
      <c r="G71" s="84">
        <f>IFERROR((Table1[[#This Row],[Cont. Income - Foundation]]+Table1[[#This Row],[Cont. Income - Membership]]+Table1[[#This Row],[Cont. Income - Small Donors]]+Table1[[#This Row],[Cont. Income - Med. Donors]]+Table1[[#This Row],[Cont. Income - Major Donors]]+Table1[[#This Row],[Cont. Income - Other]]),0)</f>
        <v>53651</v>
      </c>
      <c r="H71" s="84">
        <f>IFERROR((Table1[[#This Row],[Earned Income - Advertising]]+Table1[[#This Row],[Earned Income - Sponsorships/Underwriting]]+Table1[[#This Row],[Earned Income - Events]]+Table1[[#This Row],[Earned Income - Subscriptions]]+Table1[[#This Row],[Earned Income - Syndication]]+Table1[[#This Row],[Earned Income - Other TOTAL]]),0)</f>
        <v>0</v>
      </c>
      <c r="I71" s="71">
        <v>15888</v>
      </c>
      <c r="J71" s="71">
        <v>0</v>
      </c>
      <c r="K71" s="71">
        <v>10740</v>
      </c>
      <c r="L71" s="71">
        <v>8000</v>
      </c>
      <c r="M71" s="71">
        <v>19023</v>
      </c>
      <c r="N71" s="71">
        <v>0</v>
      </c>
      <c r="O71" s="76" t="s">
        <v>406</v>
      </c>
      <c r="P71" s="71">
        <v>0</v>
      </c>
      <c r="Q71" s="71">
        <v>0</v>
      </c>
      <c r="R71" s="71">
        <v>0</v>
      </c>
      <c r="S71" s="71">
        <v>0</v>
      </c>
      <c r="T71" s="71">
        <v>0</v>
      </c>
      <c r="U71" s="85">
        <f>IFERROR(Table1[[#This Row],[Earned Income - Training Fees]]+Table1[[#This Row],[Earned Income - Fees]]+Table1[[#This Row],[Earned Income - Investments]]+Table1[[#This Row],[Earned Income - Other]],0)</f>
        <v>0</v>
      </c>
      <c r="V71" s="71">
        <v>0</v>
      </c>
      <c r="W71" s="71">
        <v>0</v>
      </c>
      <c r="X71" s="83" t="s">
        <v>406</v>
      </c>
      <c r="Y71" s="71">
        <v>0</v>
      </c>
      <c r="Z71" s="71">
        <v>0</v>
      </c>
      <c r="AA71" s="83" t="s">
        <v>406</v>
      </c>
      <c r="AB71" s="85">
        <f t="shared" si="2"/>
        <v>37679</v>
      </c>
      <c r="AC71" s="71">
        <v>23000</v>
      </c>
      <c r="AD71" s="85">
        <f>SUM(Table1[[#This Row],[Expenses - Revenue Generation]:[Expenses - Admin]])</f>
        <v>14679</v>
      </c>
      <c r="AE71" s="71">
        <v>0</v>
      </c>
      <c r="AF71" s="71">
        <v>14679</v>
      </c>
      <c r="AG71" s="71">
        <v>0</v>
      </c>
      <c r="AH71" s="72">
        <f>Table1[[#This Row],[Total FTE - Editorial]]+Table1[[#This Row],[Total FTE - Non-Editorial]]</f>
        <v>1</v>
      </c>
      <c r="AI71" s="72">
        <f>Table1[[#This Row],[FTE Salaried - Editorial]]+Table1[[#This Row],[FTE Contractors - Editorial]]</f>
        <v>1</v>
      </c>
      <c r="AJ71" s="56">
        <v>0</v>
      </c>
      <c r="AK71" s="56">
        <v>1</v>
      </c>
      <c r="AL71" s="57">
        <f>Table1[[#This Row],[FTE Salaried - Non-Editorial]]+Table1[[#This Row],[FTE Contractors - Non-Editorial]]</f>
        <v>0</v>
      </c>
      <c r="AM71" s="56">
        <v>0</v>
      </c>
      <c r="AN71" s="56">
        <v>0</v>
      </c>
      <c r="AO71" s="83" t="s">
        <v>342</v>
      </c>
      <c r="AP71" s="83" t="s">
        <v>406</v>
      </c>
      <c r="AQ71" s="73">
        <v>0</v>
      </c>
      <c r="AR71" s="73">
        <v>1330</v>
      </c>
      <c r="AS71" s="73">
        <v>0</v>
      </c>
      <c r="AT71" s="73">
        <v>0</v>
      </c>
      <c r="AU71" s="73">
        <v>0</v>
      </c>
      <c r="AV71" s="83" t="s">
        <v>406</v>
      </c>
      <c r="BC71" s="54"/>
      <c r="BD71" s="54"/>
      <c r="BE71" s="54"/>
      <c r="BF71" s="54"/>
      <c r="BG71" s="54"/>
      <c r="BI71" s="54"/>
      <c r="BK71" s="54"/>
      <c r="BL71" s="54"/>
      <c r="BM71" s="54"/>
      <c r="BN71" s="54"/>
      <c r="BO71" s="54"/>
      <c r="BP71" s="54"/>
      <c r="BS71" s="54"/>
      <c r="BT71" s="54"/>
      <c r="BU71" s="54"/>
      <c r="BV71" s="54"/>
      <c r="BW71" s="54"/>
    </row>
    <row r="72" spans="1:75" x14ac:dyDescent="0.25">
      <c r="A72" s="83" t="s">
        <v>532</v>
      </c>
      <c r="B72" s="83"/>
      <c r="C72" s="83" t="s">
        <v>83</v>
      </c>
      <c r="D72" s="83" t="s">
        <v>78</v>
      </c>
      <c r="E72" s="54" t="str">
        <f>_xlfn.CONCAT(Table1[[#This Row],[Geographic Scope]],": ",Table1[[#This Row],[Sub-Type/Focus]])</f>
        <v>State: Multiple Related Topics</v>
      </c>
      <c r="F72" s="55">
        <f>Table1[[#This Row],[Total Contributed Income]]+Table1[[#This Row],[Total Earned Income]]</f>
        <v>12171.96</v>
      </c>
      <c r="G72" s="84">
        <f>IFERROR((Table1[[#This Row],[Cont. Income - Foundation]]+Table1[[#This Row],[Cont. Income - Membership]]+Table1[[#This Row],[Cont. Income - Small Donors]]+Table1[[#This Row],[Cont. Income - Med. Donors]]+Table1[[#This Row],[Cont. Income - Major Donors]]+Table1[[#This Row],[Cont. Income - Other]]),0)</f>
        <v>10796.96</v>
      </c>
      <c r="H72" s="84">
        <f>IFERROR((Table1[[#This Row],[Earned Income - Advertising]]+Table1[[#This Row],[Earned Income - Sponsorships/Underwriting]]+Table1[[#This Row],[Earned Income - Events]]+Table1[[#This Row],[Earned Income - Subscriptions]]+Table1[[#This Row],[Earned Income - Syndication]]+Table1[[#This Row],[Earned Income - Other TOTAL]]),0)</f>
        <v>1375</v>
      </c>
      <c r="I72" s="71">
        <v>0</v>
      </c>
      <c r="J72" s="71">
        <v>0</v>
      </c>
      <c r="K72" s="71">
        <v>9796.9599999999991</v>
      </c>
      <c r="L72" s="71">
        <v>1000</v>
      </c>
      <c r="M72" s="71">
        <v>0</v>
      </c>
      <c r="N72" s="71">
        <v>0</v>
      </c>
      <c r="O72" s="76" t="s">
        <v>406</v>
      </c>
      <c r="P72" s="71">
        <v>0</v>
      </c>
      <c r="Q72" s="71">
        <v>0</v>
      </c>
      <c r="R72" s="71">
        <v>0</v>
      </c>
      <c r="S72" s="71">
        <v>0</v>
      </c>
      <c r="T72" s="71">
        <v>1375</v>
      </c>
      <c r="U72" s="85">
        <f>IFERROR(Table1[[#This Row],[Earned Income - Training Fees]]+Table1[[#This Row],[Earned Income - Fees]]+Table1[[#This Row],[Earned Income - Investments]]+Table1[[#This Row],[Earned Income - Other]],0)</f>
        <v>0</v>
      </c>
      <c r="V72" s="71">
        <v>0</v>
      </c>
      <c r="W72" s="71">
        <v>0</v>
      </c>
      <c r="X72" s="83" t="s">
        <v>406</v>
      </c>
      <c r="Y72" s="71">
        <v>0</v>
      </c>
      <c r="Z72" s="71">
        <v>0</v>
      </c>
      <c r="AA72" s="83" t="s">
        <v>406</v>
      </c>
      <c r="AB72" s="85">
        <f t="shared" si="2"/>
        <v>7880.1299999999992</v>
      </c>
      <c r="AC72" s="71">
        <v>4471.28</v>
      </c>
      <c r="AD72" s="85">
        <f>SUM(Table1[[#This Row],[Expenses - Revenue Generation]:[Expenses - Admin]])</f>
        <v>3408.85</v>
      </c>
      <c r="AE72" s="71">
        <v>0</v>
      </c>
      <c r="AF72" s="71">
        <v>280</v>
      </c>
      <c r="AG72" s="71">
        <v>3128.85</v>
      </c>
      <c r="AH72" s="72">
        <f>Table1[[#This Row],[Total FTE - Editorial]]+Table1[[#This Row],[Total FTE - Non-Editorial]]</f>
        <v>0.75</v>
      </c>
      <c r="AI72" s="72">
        <f>Table1[[#This Row],[FTE Salaried - Editorial]]+Table1[[#This Row],[FTE Contractors - Editorial]]</f>
        <v>0.65</v>
      </c>
      <c r="AJ72" s="56">
        <v>0</v>
      </c>
      <c r="AK72" s="56">
        <v>0.65</v>
      </c>
      <c r="AL72" s="57">
        <f>Table1[[#This Row],[FTE Salaried - Non-Editorial]]+Table1[[#This Row],[FTE Contractors - Non-Editorial]]</f>
        <v>0.1</v>
      </c>
      <c r="AM72" s="56">
        <v>0</v>
      </c>
      <c r="AN72" s="56">
        <v>0.1</v>
      </c>
      <c r="AO72" s="83" t="s">
        <v>342</v>
      </c>
      <c r="AP72" s="83" t="s">
        <v>406</v>
      </c>
      <c r="AQ72" s="73">
        <v>287</v>
      </c>
      <c r="AR72" s="73">
        <v>230</v>
      </c>
      <c r="AS72" s="73">
        <v>0</v>
      </c>
      <c r="AT72" s="73">
        <v>0</v>
      </c>
      <c r="AU72" s="73">
        <v>0</v>
      </c>
      <c r="AV72" s="83" t="s">
        <v>406</v>
      </c>
      <c r="BC72" s="54"/>
      <c r="BD72" s="54"/>
      <c r="BE72" s="54"/>
      <c r="BF72" s="54"/>
      <c r="BG72" s="54"/>
      <c r="BI72" s="54"/>
      <c r="BK72" s="54"/>
      <c r="BL72" s="54"/>
      <c r="BM72" s="54"/>
      <c r="BN72" s="54"/>
      <c r="BO72" s="54"/>
      <c r="BP72" s="54"/>
      <c r="BS72" s="54"/>
      <c r="BT72" s="54"/>
      <c r="BU72" s="54"/>
      <c r="BV72" s="54"/>
      <c r="BW72" s="54"/>
    </row>
    <row r="73" spans="1:75" x14ac:dyDescent="0.25">
      <c r="A73" s="83" t="s">
        <v>533</v>
      </c>
      <c r="B73" s="83"/>
      <c r="C73" s="83" t="s">
        <v>6</v>
      </c>
      <c r="D73" s="83" t="s">
        <v>78</v>
      </c>
      <c r="E73" s="54" t="str">
        <f>_xlfn.CONCAT(Table1[[#This Row],[Geographic Scope]],": ",Table1[[#This Row],[Sub-Type/Focus]])</f>
        <v>National: Multiple Related Topics</v>
      </c>
      <c r="F73" s="55">
        <f>Table1[[#This Row],[Total Contributed Income]]+Table1[[#This Row],[Total Earned Income]]</f>
        <v>11064986</v>
      </c>
      <c r="G73" s="84">
        <f>IFERROR((Table1[[#This Row],[Cont. Income - Foundation]]+Table1[[#This Row],[Cont. Income - Membership]]+Table1[[#This Row],[Cont. Income - Small Donors]]+Table1[[#This Row],[Cont. Income - Med. Donors]]+Table1[[#This Row],[Cont. Income - Major Donors]]+Table1[[#This Row],[Cont. Income - Other]]),0)</f>
        <v>9717954</v>
      </c>
      <c r="H73" s="84">
        <f>IFERROR((Table1[[#This Row],[Earned Income - Advertising]]+Table1[[#This Row],[Earned Income - Sponsorships/Underwriting]]+Table1[[#This Row],[Earned Income - Events]]+Table1[[#This Row],[Earned Income - Subscriptions]]+Table1[[#This Row],[Earned Income - Syndication]]+Table1[[#This Row],[Earned Income - Other TOTAL]]),0)</f>
        <v>1347032</v>
      </c>
      <c r="I73" s="71">
        <v>7465789</v>
      </c>
      <c r="J73" s="71">
        <v>308821</v>
      </c>
      <c r="K73" s="71">
        <v>6490</v>
      </c>
      <c r="L73" s="71">
        <v>253531</v>
      </c>
      <c r="M73" s="71">
        <v>1683323</v>
      </c>
      <c r="N73" s="71">
        <v>0</v>
      </c>
      <c r="O73" s="76" t="s">
        <v>406</v>
      </c>
      <c r="P73" s="71">
        <v>6802</v>
      </c>
      <c r="Q73" s="71">
        <v>290853</v>
      </c>
      <c r="R73" s="71">
        <v>0</v>
      </c>
      <c r="S73" s="71">
        <v>0</v>
      </c>
      <c r="T73" s="71">
        <v>0</v>
      </c>
      <c r="U73" s="85">
        <f>IFERROR(Table1[[#This Row],[Earned Income - Training Fees]]+Table1[[#This Row],[Earned Income - Fees]]+Table1[[#This Row],[Earned Income - Investments]]+Table1[[#This Row],[Earned Income - Other]],0)</f>
        <v>1049377</v>
      </c>
      <c r="V73" s="71">
        <v>0</v>
      </c>
      <c r="W73" s="71">
        <v>157877</v>
      </c>
      <c r="X73" s="83" t="s">
        <v>534</v>
      </c>
      <c r="Y73" s="71">
        <v>0</v>
      </c>
      <c r="Z73" s="71">
        <v>891500</v>
      </c>
      <c r="AA73" s="83" t="s">
        <v>535</v>
      </c>
      <c r="AB73" s="85">
        <f t="shared" si="2"/>
        <v>10655444</v>
      </c>
      <c r="AC73" s="71">
        <v>9057127</v>
      </c>
      <c r="AD73" s="85">
        <f>SUM(Table1[[#This Row],[Expenses - Revenue Generation]:[Expenses - Admin]])</f>
        <v>1598317</v>
      </c>
      <c r="AE73" s="71">
        <v>532772</v>
      </c>
      <c r="AF73" s="71">
        <v>213109</v>
      </c>
      <c r="AG73" s="71">
        <v>852436</v>
      </c>
      <c r="AH73" s="72">
        <f>Table1[[#This Row],[Total FTE - Editorial]]+Table1[[#This Row],[Total FTE - Non-Editorial]]</f>
        <v>55</v>
      </c>
      <c r="AI73" s="72">
        <f>Table1[[#This Row],[FTE Salaried - Editorial]]+Table1[[#This Row],[FTE Contractors - Editorial]]</f>
        <v>47</v>
      </c>
      <c r="AJ73" s="56">
        <v>47</v>
      </c>
      <c r="AK73" s="56">
        <v>0</v>
      </c>
      <c r="AL73" s="57">
        <f>Table1[[#This Row],[FTE Salaried - Non-Editorial]]+Table1[[#This Row],[FTE Contractors - Non-Editorial]]</f>
        <v>8</v>
      </c>
      <c r="AM73" s="56">
        <v>8</v>
      </c>
      <c r="AN73" s="56">
        <v>0</v>
      </c>
      <c r="AO73" s="83" t="s">
        <v>373</v>
      </c>
      <c r="AP73" s="83" t="s">
        <v>406</v>
      </c>
      <c r="AQ73" s="73">
        <v>230000</v>
      </c>
      <c r="AR73" s="73">
        <v>37500</v>
      </c>
      <c r="AS73" s="73">
        <v>0</v>
      </c>
      <c r="AT73" s="73">
        <v>0</v>
      </c>
      <c r="AU73" s="73">
        <v>1500000</v>
      </c>
      <c r="AV73" s="83" t="s">
        <v>536</v>
      </c>
      <c r="BC73" s="54"/>
      <c r="BD73" s="54"/>
      <c r="BE73" s="54"/>
      <c r="BF73" s="54"/>
      <c r="BG73" s="54"/>
      <c r="BI73" s="54"/>
      <c r="BK73" s="54"/>
      <c r="BL73" s="54"/>
      <c r="BM73" s="54"/>
      <c r="BN73" s="54"/>
      <c r="BO73" s="54"/>
      <c r="BP73" s="54"/>
      <c r="BS73" s="54"/>
      <c r="BT73" s="54"/>
      <c r="BU73" s="54"/>
      <c r="BV73" s="54"/>
      <c r="BW73" s="54"/>
    </row>
    <row r="74" spans="1:75" x14ac:dyDescent="0.25">
      <c r="A74" s="83" t="s">
        <v>537</v>
      </c>
      <c r="B74" s="83"/>
      <c r="C74" s="83" t="s">
        <v>6</v>
      </c>
      <c r="D74" s="83" t="s">
        <v>77</v>
      </c>
      <c r="E74" s="54" t="str">
        <f>_xlfn.CONCAT(Table1[[#This Row],[Geographic Scope]],": ",Table1[[#This Row],[Sub-Type/Focus]])</f>
        <v>National: General</v>
      </c>
      <c r="F74" s="55">
        <f>Table1[[#This Row],[Total Contributed Income]]+Table1[[#This Row],[Total Earned Income]]</f>
        <v>3403643</v>
      </c>
      <c r="G74" s="84">
        <f>IFERROR((Table1[[#This Row],[Cont. Income - Foundation]]+Table1[[#This Row],[Cont. Income - Membership]]+Table1[[#This Row],[Cont. Income - Small Donors]]+Table1[[#This Row],[Cont. Income - Med. Donors]]+Table1[[#This Row],[Cont. Income - Major Donors]]+Table1[[#This Row],[Cont. Income - Other]]),0)</f>
        <v>3393542</v>
      </c>
      <c r="H74" s="84">
        <f>IFERROR((Table1[[#This Row],[Earned Income - Advertising]]+Table1[[#This Row],[Earned Income - Sponsorships/Underwriting]]+Table1[[#This Row],[Earned Income - Events]]+Table1[[#This Row],[Earned Income - Subscriptions]]+Table1[[#This Row],[Earned Income - Syndication]]+Table1[[#This Row],[Earned Income - Other TOTAL]]),0)</f>
        <v>10101</v>
      </c>
      <c r="I74" s="71">
        <v>1716331</v>
      </c>
      <c r="J74" s="71">
        <v>0</v>
      </c>
      <c r="K74" s="71">
        <v>89000</v>
      </c>
      <c r="L74" s="71">
        <v>25000</v>
      </c>
      <c r="M74" s="71">
        <v>0</v>
      </c>
      <c r="N74" s="71">
        <v>1563211</v>
      </c>
      <c r="O74" s="76" t="s">
        <v>406</v>
      </c>
      <c r="P74" s="71">
        <v>0</v>
      </c>
      <c r="Q74" s="71">
        <v>0</v>
      </c>
      <c r="R74" s="71">
        <v>0</v>
      </c>
      <c r="S74" s="71">
        <v>0</v>
      </c>
      <c r="T74" s="71">
        <v>0</v>
      </c>
      <c r="U74" s="85">
        <f>IFERROR(Table1[[#This Row],[Earned Income - Training Fees]]+Table1[[#This Row],[Earned Income - Fees]]+Table1[[#This Row],[Earned Income - Investments]]+Table1[[#This Row],[Earned Income - Other]],0)</f>
        <v>10101</v>
      </c>
      <c r="V74" s="71">
        <v>0</v>
      </c>
      <c r="W74" s="71">
        <v>0</v>
      </c>
      <c r="X74" s="83" t="s">
        <v>406</v>
      </c>
      <c r="Y74" s="71">
        <v>9601</v>
      </c>
      <c r="Z74" s="71">
        <v>500</v>
      </c>
      <c r="AA74" s="83" t="s">
        <v>538</v>
      </c>
      <c r="AB74" s="85">
        <f t="shared" si="2"/>
        <v>3567429</v>
      </c>
      <c r="AC74" s="71">
        <v>2760005</v>
      </c>
      <c r="AD74" s="85">
        <f>SUM(Table1[[#This Row],[Expenses - Revenue Generation]:[Expenses - Admin]])</f>
        <v>807424</v>
      </c>
      <c r="AE74" s="71">
        <v>475863</v>
      </c>
      <c r="AF74" s="71">
        <v>120000</v>
      </c>
      <c r="AG74" s="71">
        <v>211561</v>
      </c>
      <c r="AH74" s="72">
        <f>Table1[[#This Row],[Total FTE - Editorial]]+Table1[[#This Row],[Total FTE - Non-Editorial]]</f>
        <v>29</v>
      </c>
      <c r="AI74" s="72">
        <f>Table1[[#This Row],[FTE Salaried - Editorial]]+Table1[[#This Row],[FTE Contractors - Editorial]]</f>
        <v>24</v>
      </c>
      <c r="AJ74" s="56">
        <v>22</v>
      </c>
      <c r="AK74" s="56">
        <v>2</v>
      </c>
      <c r="AL74" s="57">
        <f>Table1[[#This Row],[FTE Salaried - Non-Editorial]]+Table1[[#This Row],[FTE Contractors - Non-Editorial]]</f>
        <v>5</v>
      </c>
      <c r="AM74" s="56">
        <v>4.5</v>
      </c>
      <c r="AN74" s="56">
        <v>0.5</v>
      </c>
      <c r="AO74" s="83" t="s">
        <v>342</v>
      </c>
      <c r="AP74" s="83" t="s">
        <v>406</v>
      </c>
      <c r="AQ74" s="73">
        <v>9885888</v>
      </c>
      <c r="AR74" s="73">
        <v>62840</v>
      </c>
      <c r="AS74" s="73">
        <v>0</v>
      </c>
      <c r="AT74" s="73">
        <v>0</v>
      </c>
      <c r="AU74" s="73">
        <v>0</v>
      </c>
      <c r="AV74" s="83" t="s">
        <v>406</v>
      </c>
      <c r="BC74" s="54"/>
      <c r="BD74" s="54"/>
      <c r="BE74" s="54"/>
      <c r="BF74" s="54"/>
      <c r="BG74" s="54"/>
      <c r="BI74" s="54"/>
      <c r="BK74" s="54"/>
      <c r="BL74" s="54"/>
      <c r="BM74" s="54"/>
      <c r="BN74" s="54"/>
      <c r="BO74" s="54"/>
      <c r="BP74" s="54"/>
      <c r="BS74" s="54"/>
      <c r="BT74" s="54"/>
      <c r="BU74" s="54"/>
      <c r="BV74" s="54"/>
      <c r="BW74" s="54"/>
    </row>
    <row r="75" spans="1:75" x14ac:dyDescent="0.25">
      <c r="A75" s="83" t="s">
        <v>539</v>
      </c>
      <c r="B75" s="83"/>
      <c r="C75" s="83" t="s">
        <v>83</v>
      </c>
      <c r="D75" s="83" t="s">
        <v>78</v>
      </c>
      <c r="E75" s="54" t="str">
        <f>_xlfn.CONCAT(Table1[[#This Row],[Geographic Scope]],": ",Table1[[#This Row],[Sub-Type/Focus]])</f>
        <v>State: Multiple Related Topics</v>
      </c>
      <c r="F75" s="55">
        <f>Table1[[#This Row],[Total Contributed Income]]+Table1[[#This Row],[Total Earned Income]]</f>
        <v>1304549</v>
      </c>
      <c r="G75" s="84">
        <f>IFERROR((Table1[[#This Row],[Cont. Income - Foundation]]+Table1[[#This Row],[Cont. Income - Membership]]+Table1[[#This Row],[Cont. Income - Small Donors]]+Table1[[#This Row],[Cont. Income - Med. Donors]]+Table1[[#This Row],[Cont. Income - Major Donors]]+Table1[[#This Row],[Cont. Income - Other]]),0)</f>
        <v>1122766</v>
      </c>
      <c r="H75" s="84">
        <f>IFERROR((Table1[[#This Row],[Earned Income - Advertising]]+Table1[[#This Row],[Earned Income - Sponsorships/Underwriting]]+Table1[[#This Row],[Earned Income - Events]]+Table1[[#This Row],[Earned Income - Subscriptions]]+Table1[[#This Row],[Earned Income - Syndication]]+Table1[[#This Row],[Earned Income - Other TOTAL]]),0)</f>
        <v>181783</v>
      </c>
      <c r="I75" s="71">
        <v>467131</v>
      </c>
      <c r="J75" s="71">
        <v>0</v>
      </c>
      <c r="K75" s="71">
        <v>100513</v>
      </c>
      <c r="L75" s="71">
        <v>51505</v>
      </c>
      <c r="M75" s="71">
        <v>486500</v>
      </c>
      <c r="N75" s="71">
        <v>17117</v>
      </c>
      <c r="O75" s="76" t="s">
        <v>540</v>
      </c>
      <c r="P75" s="71">
        <v>123056</v>
      </c>
      <c r="Q75" s="71">
        <v>0</v>
      </c>
      <c r="R75" s="71">
        <v>0</v>
      </c>
      <c r="S75" s="71">
        <v>0</v>
      </c>
      <c r="T75" s="71">
        <v>55977</v>
      </c>
      <c r="U75" s="85">
        <f>IFERROR(Table1[[#This Row],[Earned Income - Training Fees]]+Table1[[#This Row],[Earned Income - Fees]]+Table1[[#This Row],[Earned Income - Investments]]+Table1[[#This Row],[Earned Income - Other]],0)</f>
        <v>2750</v>
      </c>
      <c r="V75" s="71">
        <v>0</v>
      </c>
      <c r="W75" s="71">
        <v>2750</v>
      </c>
      <c r="X75" s="83" t="s">
        <v>406</v>
      </c>
      <c r="Y75" s="71">
        <v>0</v>
      </c>
      <c r="Z75" s="71">
        <v>0</v>
      </c>
      <c r="AA75" s="83" t="s">
        <v>406</v>
      </c>
      <c r="AB75" s="85">
        <f t="shared" si="2"/>
        <v>1104828</v>
      </c>
      <c r="AC75" s="71">
        <v>791195</v>
      </c>
      <c r="AD75" s="85">
        <f>SUM(Table1[[#This Row],[Expenses - Revenue Generation]:[Expenses - Admin]])</f>
        <v>313633</v>
      </c>
      <c r="AE75" s="71">
        <v>170920</v>
      </c>
      <c r="AF75" s="71">
        <v>68966</v>
      </c>
      <c r="AG75" s="71">
        <v>73747</v>
      </c>
      <c r="AH75" s="72">
        <f>Table1[[#This Row],[Total FTE - Editorial]]+Table1[[#This Row],[Total FTE - Non-Editorial]]</f>
        <v>10.75</v>
      </c>
      <c r="AI75" s="72">
        <f>Table1[[#This Row],[FTE Salaried - Editorial]]+Table1[[#This Row],[FTE Contractors - Editorial]]</f>
        <v>8.5</v>
      </c>
      <c r="AJ75" s="56">
        <v>8</v>
      </c>
      <c r="AK75" s="56">
        <v>0.5</v>
      </c>
      <c r="AL75" s="57">
        <f>Table1[[#This Row],[FTE Salaried - Non-Editorial]]+Table1[[#This Row],[FTE Contractors - Non-Editorial]]</f>
        <v>2.25</v>
      </c>
      <c r="AM75" s="56">
        <v>2</v>
      </c>
      <c r="AN75" s="56">
        <v>0.25</v>
      </c>
      <c r="AO75" s="83" t="s">
        <v>342</v>
      </c>
      <c r="AP75" s="83" t="s">
        <v>406</v>
      </c>
      <c r="AQ75" s="73">
        <v>275000</v>
      </c>
      <c r="AR75" s="73">
        <v>10000</v>
      </c>
      <c r="AS75" s="73">
        <v>0</v>
      </c>
      <c r="AT75" s="73">
        <v>0</v>
      </c>
      <c r="AU75" s="73">
        <v>0</v>
      </c>
      <c r="AV75" s="83" t="s">
        <v>406</v>
      </c>
      <c r="BC75" s="54"/>
      <c r="BD75" s="54"/>
      <c r="BE75" s="54"/>
      <c r="BF75" s="54"/>
      <c r="BG75" s="54"/>
      <c r="BI75" s="54"/>
      <c r="BK75" s="54"/>
      <c r="BL75" s="54"/>
      <c r="BM75" s="54"/>
      <c r="BN75" s="54"/>
      <c r="BO75" s="54"/>
      <c r="BP75" s="54"/>
      <c r="BS75" s="54"/>
      <c r="BT75" s="54"/>
      <c r="BU75" s="54"/>
      <c r="BV75" s="54"/>
      <c r="BW75" s="54"/>
    </row>
    <row r="76" spans="1:75" x14ac:dyDescent="0.25">
      <c r="A76" s="83" t="s">
        <v>541</v>
      </c>
      <c r="B76" s="83"/>
      <c r="C76" s="83" t="s">
        <v>6</v>
      </c>
      <c r="D76" s="83" t="s">
        <v>79</v>
      </c>
      <c r="E76" s="54" t="str">
        <f>_xlfn.CONCAT(Table1[[#This Row],[Geographic Scope]],": ",Table1[[#This Row],[Sub-Type/Focus]])</f>
        <v>National: Single-Topic</v>
      </c>
      <c r="F76" s="55">
        <f>Table1[[#This Row],[Total Contributed Income]]+Table1[[#This Row],[Total Earned Income]]</f>
        <v>3630135</v>
      </c>
      <c r="G76" s="84">
        <f>IFERROR((Table1[[#This Row],[Cont. Income - Foundation]]+Table1[[#This Row],[Cont. Income - Membership]]+Table1[[#This Row],[Cont. Income - Small Donors]]+Table1[[#This Row],[Cont. Income - Med. Donors]]+Table1[[#This Row],[Cont. Income - Major Donors]]+Table1[[#This Row],[Cont. Income - Other]]),0)</f>
        <v>3580744</v>
      </c>
      <c r="H76" s="84">
        <f>IFERROR((Table1[[#This Row],[Earned Income - Advertising]]+Table1[[#This Row],[Earned Income - Sponsorships/Underwriting]]+Table1[[#This Row],[Earned Income - Events]]+Table1[[#This Row],[Earned Income - Subscriptions]]+Table1[[#This Row],[Earned Income - Syndication]]+Table1[[#This Row],[Earned Income - Other TOTAL]]),0)</f>
        <v>49391</v>
      </c>
      <c r="I76" s="71">
        <v>3529000</v>
      </c>
      <c r="J76" s="71">
        <v>0</v>
      </c>
      <c r="K76" s="71">
        <v>42344</v>
      </c>
      <c r="L76" s="71">
        <v>9400</v>
      </c>
      <c r="M76" s="71">
        <v>0</v>
      </c>
      <c r="N76" s="71">
        <v>0</v>
      </c>
      <c r="O76" s="76" t="s">
        <v>406</v>
      </c>
      <c r="P76" s="71">
        <v>3891</v>
      </c>
      <c r="Q76" s="71">
        <v>45500</v>
      </c>
      <c r="R76" s="71">
        <v>0</v>
      </c>
      <c r="S76" s="71">
        <v>0</v>
      </c>
      <c r="T76" s="71">
        <v>0</v>
      </c>
      <c r="U76" s="85">
        <f>IFERROR(Table1[[#This Row],[Earned Income - Training Fees]]+Table1[[#This Row],[Earned Income - Fees]]+Table1[[#This Row],[Earned Income - Investments]]+Table1[[#This Row],[Earned Income - Other]],0)</f>
        <v>0</v>
      </c>
      <c r="V76" s="71">
        <v>0</v>
      </c>
      <c r="W76" s="71">
        <v>0</v>
      </c>
      <c r="X76" s="83" t="s">
        <v>406</v>
      </c>
      <c r="Y76" s="71">
        <v>0</v>
      </c>
      <c r="Z76" s="71">
        <v>0</v>
      </c>
      <c r="AA76" s="83" t="s">
        <v>406</v>
      </c>
      <c r="AB76" s="85">
        <f t="shared" si="2"/>
        <v>3616859</v>
      </c>
      <c r="AC76" s="71">
        <v>2506417</v>
      </c>
      <c r="AD76" s="85">
        <f>SUM(Table1[[#This Row],[Expenses - Revenue Generation]:[Expenses - Admin]])</f>
        <v>1110442</v>
      </c>
      <c r="AE76" s="71">
        <v>269302</v>
      </c>
      <c r="AF76" s="71">
        <v>54095</v>
      </c>
      <c r="AG76" s="71">
        <v>787045</v>
      </c>
      <c r="AH76" s="72">
        <f>Table1[[#This Row],[Total FTE - Editorial]]+Table1[[#This Row],[Total FTE - Non-Editorial]]</f>
        <v>23.5</v>
      </c>
      <c r="AI76" s="72">
        <f>Table1[[#This Row],[FTE Salaried - Editorial]]+Table1[[#This Row],[FTE Contractors - Editorial]]</f>
        <v>20</v>
      </c>
      <c r="AJ76" s="56">
        <v>20</v>
      </c>
      <c r="AK76" s="56">
        <v>0</v>
      </c>
      <c r="AL76" s="57">
        <f>Table1[[#This Row],[FTE Salaried - Non-Editorial]]+Table1[[#This Row],[FTE Contractors - Non-Editorial]]</f>
        <v>3.5</v>
      </c>
      <c r="AM76" s="56">
        <v>3.5</v>
      </c>
      <c r="AN76" s="56">
        <v>0</v>
      </c>
      <c r="AO76" s="83" t="s">
        <v>342</v>
      </c>
      <c r="AP76" s="83" t="s">
        <v>406</v>
      </c>
      <c r="AQ76" s="73">
        <v>344375</v>
      </c>
      <c r="AR76" s="73">
        <v>37256</v>
      </c>
      <c r="AS76" s="73">
        <v>0</v>
      </c>
      <c r="AT76" s="73">
        <v>0</v>
      </c>
      <c r="AU76" s="73">
        <v>0</v>
      </c>
      <c r="AV76" s="83" t="s">
        <v>406</v>
      </c>
      <c r="BC76" s="54"/>
      <c r="BD76" s="54"/>
      <c r="BE76" s="54"/>
      <c r="BF76" s="54"/>
      <c r="BG76" s="54"/>
      <c r="BI76" s="54"/>
      <c r="BK76" s="54"/>
      <c r="BL76" s="54"/>
      <c r="BM76" s="54"/>
      <c r="BN76" s="54"/>
      <c r="BO76" s="54"/>
      <c r="BP76" s="54"/>
      <c r="BS76" s="54"/>
      <c r="BT76" s="54"/>
      <c r="BU76" s="54"/>
      <c r="BV76" s="54"/>
      <c r="BW76" s="54"/>
    </row>
    <row r="77" spans="1:75" x14ac:dyDescent="0.25">
      <c r="A77" s="83" t="s">
        <v>542</v>
      </c>
      <c r="B77" s="83"/>
      <c r="C77" s="83" t="s">
        <v>6</v>
      </c>
      <c r="D77" s="83" t="s">
        <v>77</v>
      </c>
      <c r="E77" s="54" t="str">
        <f>_xlfn.CONCAT(Table1[[#This Row],[Geographic Scope]],": ",Table1[[#This Row],[Sub-Type/Focus]])</f>
        <v>National: General</v>
      </c>
      <c r="F77" s="55">
        <f>Table1[[#This Row],[Total Contributed Income]]+Table1[[#This Row],[Total Earned Income]]</f>
        <v>1894000.02</v>
      </c>
      <c r="G77" s="84">
        <f>IFERROR((Table1[[#This Row],[Cont. Income - Foundation]]+Table1[[#This Row],[Cont. Income - Membership]]+Table1[[#This Row],[Cont. Income - Small Donors]]+Table1[[#This Row],[Cont. Income - Med. Donors]]+Table1[[#This Row],[Cont. Income - Major Donors]]+Table1[[#This Row],[Cont. Income - Other]]),0)</f>
        <v>1894000.02</v>
      </c>
      <c r="H77" s="84">
        <f>IFERROR((Table1[[#This Row],[Earned Income - Advertising]]+Table1[[#This Row],[Earned Income - Sponsorships/Underwriting]]+Table1[[#This Row],[Earned Income - Events]]+Table1[[#This Row],[Earned Income - Subscriptions]]+Table1[[#This Row],[Earned Income - Syndication]]+Table1[[#This Row],[Earned Income - Other TOTAL]]),0)</f>
        <v>0</v>
      </c>
      <c r="I77" s="71">
        <v>1204500</v>
      </c>
      <c r="J77" s="71">
        <v>0</v>
      </c>
      <c r="K77" s="71">
        <v>20892.02</v>
      </c>
      <c r="L77" s="71">
        <v>15500</v>
      </c>
      <c r="M77" s="71">
        <v>653108</v>
      </c>
      <c r="N77" s="71">
        <v>0</v>
      </c>
      <c r="O77" s="76" t="s">
        <v>406</v>
      </c>
      <c r="P77" s="71">
        <v>0</v>
      </c>
      <c r="Q77" s="71">
        <v>0</v>
      </c>
      <c r="R77" s="71">
        <v>0</v>
      </c>
      <c r="S77" s="71">
        <v>0</v>
      </c>
      <c r="T77" s="71">
        <v>0</v>
      </c>
      <c r="U77" s="85">
        <f>IFERROR(Table1[[#This Row],[Earned Income - Training Fees]]+Table1[[#This Row],[Earned Income - Fees]]+Table1[[#This Row],[Earned Income - Investments]]+Table1[[#This Row],[Earned Income - Other]],0)</f>
        <v>0</v>
      </c>
      <c r="V77" s="71">
        <v>0</v>
      </c>
      <c r="W77" s="71">
        <v>0</v>
      </c>
      <c r="X77" s="83" t="s">
        <v>406</v>
      </c>
      <c r="Y77" s="71">
        <v>0</v>
      </c>
      <c r="Z77" s="71">
        <v>0</v>
      </c>
      <c r="AA77" s="83" t="s">
        <v>406</v>
      </c>
      <c r="AB77" s="85">
        <f t="shared" si="2"/>
        <v>1894000</v>
      </c>
      <c r="AC77" s="71">
        <v>727000</v>
      </c>
      <c r="AD77" s="85">
        <f>SUM(Table1[[#This Row],[Expenses - Revenue Generation]:[Expenses - Admin]])</f>
        <v>1167000</v>
      </c>
      <c r="AE77" s="71">
        <v>49000</v>
      </c>
      <c r="AF77" s="71">
        <v>22500</v>
      </c>
      <c r="AG77" s="71">
        <v>1095500</v>
      </c>
      <c r="AH77" s="72">
        <f>Table1[[#This Row],[Total FTE - Editorial]]+Table1[[#This Row],[Total FTE - Non-Editorial]]</f>
        <v>9</v>
      </c>
      <c r="AI77" s="72">
        <f>Table1[[#This Row],[FTE Salaried - Editorial]]+Table1[[#This Row],[FTE Contractors - Editorial]]</f>
        <v>8</v>
      </c>
      <c r="AJ77" s="56">
        <v>7</v>
      </c>
      <c r="AK77" s="56">
        <v>1</v>
      </c>
      <c r="AL77" s="57">
        <f>Table1[[#This Row],[FTE Salaried - Non-Editorial]]+Table1[[#This Row],[FTE Contractors - Non-Editorial]]</f>
        <v>1</v>
      </c>
      <c r="AM77" s="56">
        <v>1</v>
      </c>
      <c r="AN77" s="56">
        <v>0</v>
      </c>
      <c r="AO77" s="83" t="s">
        <v>343</v>
      </c>
      <c r="AP77" s="83" t="s">
        <v>543</v>
      </c>
      <c r="AQ77" s="73">
        <v>10000</v>
      </c>
      <c r="AR77" s="73">
        <v>3000</v>
      </c>
      <c r="AS77" s="73">
        <v>0</v>
      </c>
      <c r="AT77" s="73">
        <v>0</v>
      </c>
      <c r="AU77" s="73">
        <v>0</v>
      </c>
      <c r="AV77" s="83" t="s">
        <v>406</v>
      </c>
      <c r="BC77" s="54"/>
      <c r="BD77" s="54"/>
      <c r="BE77" s="54"/>
      <c r="BF77" s="54"/>
      <c r="BG77" s="54"/>
      <c r="BI77" s="54"/>
      <c r="BK77" s="54"/>
      <c r="BL77" s="54"/>
      <c r="BM77" s="54"/>
      <c r="BN77" s="54"/>
      <c r="BO77" s="54"/>
      <c r="BP77" s="54"/>
      <c r="BS77" s="54"/>
      <c r="BT77" s="54"/>
      <c r="BU77" s="54"/>
      <c r="BV77" s="54"/>
      <c r="BW77" s="54"/>
    </row>
    <row r="78" spans="1:75" x14ac:dyDescent="0.25">
      <c r="A78" s="83" t="s">
        <v>544</v>
      </c>
      <c r="B78" s="83"/>
      <c r="C78" s="83" t="s">
        <v>6</v>
      </c>
      <c r="D78" s="83" t="s">
        <v>79</v>
      </c>
      <c r="E78" s="54" t="str">
        <f>_xlfn.CONCAT(Table1[[#This Row],[Geographic Scope]],": ",Table1[[#This Row],[Sub-Type/Focus]])</f>
        <v>National: Single-Topic</v>
      </c>
      <c r="F78" s="55">
        <f>Table1[[#This Row],[Total Contributed Income]]+Table1[[#This Row],[Total Earned Income]]</f>
        <v>8814000</v>
      </c>
      <c r="G78" s="84">
        <f>IFERROR((Table1[[#This Row],[Cont. Income - Foundation]]+Table1[[#This Row],[Cont. Income - Membership]]+Table1[[#This Row],[Cont. Income - Small Donors]]+Table1[[#This Row],[Cont. Income - Med. Donors]]+Table1[[#This Row],[Cont. Income - Major Donors]]+Table1[[#This Row],[Cont. Income - Other]]),0)</f>
        <v>8539000</v>
      </c>
      <c r="H78" s="84">
        <f>IFERROR((Table1[[#This Row],[Earned Income - Advertising]]+Table1[[#This Row],[Earned Income - Sponsorships/Underwriting]]+Table1[[#This Row],[Earned Income - Events]]+Table1[[#This Row],[Earned Income - Subscriptions]]+Table1[[#This Row],[Earned Income - Syndication]]+Table1[[#This Row],[Earned Income - Other TOTAL]]),0)</f>
        <v>275000</v>
      </c>
      <c r="I78" s="71">
        <v>3450000</v>
      </c>
      <c r="J78" s="71">
        <v>409000</v>
      </c>
      <c r="K78" s="71">
        <v>0</v>
      </c>
      <c r="L78" s="71">
        <v>0</v>
      </c>
      <c r="M78" s="71">
        <v>4520000</v>
      </c>
      <c r="N78" s="71">
        <v>160000</v>
      </c>
      <c r="O78" s="76" t="s">
        <v>406</v>
      </c>
      <c r="P78" s="71">
        <v>0</v>
      </c>
      <c r="Q78" s="71">
        <v>0</v>
      </c>
      <c r="R78" s="71">
        <v>0</v>
      </c>
      <c r="S78" s="71">
        <v>0</v>
      </c>
      <c r="T78" s="71">
        <v>0</v>
      </c>
      <c r="U78" s="85">
        <f>IFERROR(Table1[[#This Row],[Earned Income - Training Fees]]+Table1[[#This Row],[Earned Income - Fees]]+Table1[[#This Row],[Earned Income - Investments]]+Table1[[#This Row],[Earned Income - Other]],0)</f>
        <v>275000</v>
      </c>
      <c r="V78" s="71">
        <v>0</v>
      </c>
      <c r="W78" s="71">
        <v>0</v>
      </c>
      <c r="X78" s="83" t="s">
        <v>406</v>
      </c>
      <c r="Y78" s="71">
        <v>60000</v>
      </c>
      <c r="Z78" s="71">
        <v>215000</v>
      </c>
      <c r="AA78" s="83" t="s">
        <v>545</v>
      </c>
      <c r="AB78" s="85">
        <f t="shared" si="2"/>
        <v>7175000</v>
      </c>
      <c r="AC78" s="71">
        <v>3990000</v>
      </c>
      <c r="AD78" s="85">
        <f>SUM(Table1[[#This Row],[Expenses - Revenue Generation]:[Expenses - Admin]])</f>
        <v>3185000</v>
      </c>
      <c r="AE78" s="71">
        <v>415000</v>
      </c>
      <c r="AF78" s="71">
        <v>640000</v>
      </c>
      <c r="AG78" s="71">
        <v>2130000</v>
      </c>
      <c r="AH78" s="72">
        <f>Table1[[#This Row],[Total FTE - Editorial]]+Table1[[#This Row],[Total FTE - Non-Editorial]]</f>
        <v>38</v>
      </c>
      <c r="AI78" s="72">
        <f>Table1[[#This Row],[FTE Salaried - Editorial]]+Table1[[#This Row],[FTE Contractors - Editorial]]</f>
        <v>26</v>
      </c>
      <c r="AJ78" s="56">
        <v>26</v>
      </c>
      <c r="AK78" s="56">
        <v>0</v>
      </c>
      <c r="AL78" s="57">
        <f>Table1[[#This Row],[FTE Salaried - Non-Editorial]]+Table1[[#This Row],[FTE Contractors - Non-Editorial]]</f>
        <v>12</v>
      </c>
      <c r="AM78" s="56">
        <v>12</v>
      </c>
      <c r="AN78" s="56">
        <v>0</v>
      </c>
      <c r="AO78" s="83" t="s">
        <v>342</v>
      </c>
      <c r="AP78" s="83" t="s">
        <v>406</v>
      </c>
      <c r="AQ78" s="73">
        <v>375471</v>
      </c>
      <c r="AR78" s="73">
        <v>49228</v>
      </c>
      <c r="AS78" s="73">
        <v>30000</v>
      </c>
      <c r="AT78" s="73">
        <v>3</v>
      </c>
      <c r="AU78" s="73">
        <v>0</v>
      </c>
      <c r="AV78" s="83" t="s">
        <v>406</v>
      </c>
      <c r="BC78" s="54"/>
      <c r="BD78" s="54"/>
      <c r="BE78" s="54"/>
      <c r="BF78" s="54"/>
      <c r="BG78" s="54"/>
      <c r="BI78" s="54"/>
      <c r="BK78" s="54"/>
      <c r="BL78" s="54"/>
      <c r="BM78" s="54"/>
      <c r="BN78" s="54"/>
      <c r="BO78" s="54"/>
      <c r="BP78" s="54"/>
      <c r="BS78" s="54"/>
      <c r="BT78" s="54"/>
      <c r="BU78" s="54"/>
      <c r="BV78" s="54"/>
      <c r="BW78" s="54"/>
    </row>
    <row r="79" spans="1:75" x14ac:dyDescent="0.25">
      <c r="A79" s="83" t="s">
        <v>546</v>
      </c>
      <c r="B79" s="83"/>
      <c r="C79" s="83" t="s">
        <v>6</v>
      </c>
      <c r="D79" s="83" t="s">
        <v>79</v>
      </c>
      <c r="E79" s="54" t="str">
        <f>_xlfn.CONCAT(Table1[[#This Row],[Geographic Scope]],": ",Table1[[#This Row],[Sub-Type/Focus]])</f>
        <v>National: Single-Topic</v>
      </c>
      <c r="F79" s="55">
        <f>Table1[[#This Row],[Total Contributed Income]]+Table1[[#This Row],[Total Earned Income]]</f>
        <v>481240</v>
      </c>
      <c r="G79" s="84">
        <f>IFERROR((Table1[[#This Row],[Cont. Income - Foundation]]+Table1[[#This Row],[Cont. Income - Membership]]+Table1[[#This Row],[Cont. Income - Small Donors]]+Table1[[#This Row],[Cont. Income - Med. Donors]]+Table1[[#This Row],[Cont. Income - Major Donors]]+Table1[[#This Row],[Cont. Income - Other]]),0)</f>
        <v>480800</v>
      </c>
      <c r="H79" s="84">
        <f>IFERROR((Table1[[#This Row],[Earned Income - Advertising]]+Table1[[#This Row],[Earned Income - Sponsorships/Underwriting]]+Table1[[#This Row],[Earned Income - Events]]+Table1[[#This Row],[Earned Income - Subscriptions]]+Table1[[#This Row],[Earned Income - Syndication]]+Table1[[#This Row],[Earned Income - Other TOTAL]]),0)</f>
        <v>440</v>
      </c>
      <c r="I79" s="71">
        <v>360000</v>
      </c>
      <c r="J79" s="71">
        <v>75600</v>
      </c>
      <c r="K79" s="71">
        <v>37400</v>
      </c>
      <c r="L79" s="71">
        <v>5500</v>
      </c>
      <c r="M79" s="71">
        <v>2300</v>
      </c>
      <c r="N79" s="71">
        <v>0</v>
      </c>
      <c r="O79" s="76" t="s">
        <v>406</v>
      </c>
      <c r="P79" s="71">
        <v>0</v>
      </c>
      <c r="Q79" s="71">
        <v>0</v>
      </c>
      <c r="R79" s="71">
        <v>300</v>
      </c>
      <c r="S79" s="71">
        <v>0</v>
      </c>
      <c r="T79" s="71">
        <v>0</v>
      </c>
      <c r="U79" s="85">
        <f>IFERROR(Table1[[#This Row],[Earned Income - Training Fees]]+Table1[[#This Row],[Earned Income - Fees]]+Table1[[#This Row],[Earned Income - Investments]]+Table1[[#This Row],[Earned Income - Other]],0)</f>
        <v>140</v>
      </c>
      <c r="V79" s="71">
        <v>0</v>
      </c>
      <c r="W79" s="71">
        <v>140</v>
      </c>
      <c r="X79" s="83" t="s">
        <v>547</v>
      </c>
      <c r="Y79" s="71">
        <v>0</v>
      </c>
      <c r="Z79" s="71">
        <v>0</v>
      </c>
      <c r="AA79" s="83" t="s">
        <v>406</v>
      </c>
      <c r="AB79" s="85">
        <f t="shared" si="2"/>
        <v>520280</v>
      </c>
      <c r="AC79" s="71">
        <v>380000</v>
      </c>
      <c r="AD79" s="85">
        <f>SUM(Table1[[#This Row],[Expenses - Revenue Generation]:[Expenses - Admin]])</f>
        <v>140280</v>
      </c>
      <c r="AE79" s="71">
        <v>50000</v>
      </c>
      <c r="AF79" s="71">
        <v>9800</v>
      </c>
      <c r="AG79" s="71">
        <v>80480</v>
      </c>
      <c r="AH79" s="72">
        <f>Table1[[#This Row],[Total FTE - Editorial]]+Table1[[#This Row],[Total FTE - Non-Editorial]]</f>
        <v>5.0999999999999996</v>
      </c>
      <c r="AI79" s="72">
        <f>Table1[[#This Row],[FTE Salaried - Editorial]]+Table1[[#This Row],[FTE Contractors - Editorial]]</f>
        <v>4.5</v>
      </c>
      <c r="AJ79" s="56">
        <v>3.5</v>
      </c>
      <c r="AK79" s="56">
        <v>1</v>
      </c>
      <c r="AL79" s="57">
        <f>Table1[[#This Row],[FTE Salaried - Non-Editorial]]+Table1[[#This Row],[FTE Contractors - Non-Editorial]]</f>
        <v>0.6</v>
      </c>
      <c r="AM79" s="56">
        <v>0</v>
      </c>
      <c r="AN79" s="56">
        <v>0.6</v>
      </c>
      <c r="AO79" s="83" t="s">
        <v>342</v>
      </c>
      <c r="AP79" s="83" t="s">
        <v>406</v>
      </c>
      <c r="AQ79" s="73">
        <v>125000</v>
      </c>
      <c r="AR79" s="73">
        <v>20000</v>
      </c>
      <c r="AS79" s="73">
        <v>200</v>
      </c>
      <c r="AT79" s="73">
        <v>1</v>
      </c>
      <c r="AU79" s="73">
        <v>500000</v>
      </c>
      <c r="AV79" s="83" t="s">
        <v>548</v>
      </c>
      <c r="BC79" s="54"/>
      <c r="BD79" s="54"/>
      <c r="BE79" s="54"/>
      <c r="BF79" s="54"/>
      <c r="BG79" s="54"/>
      <c r="BI79" s="54"/>
      <c r="BK79" s="54"/>
      <c r="BL79" s="54"/>
      <c r="BM79" s="54"/>
      <c r="BN79" s="54"/>
      <c r="BO79" s="54"/>
      <c r="BP79" s="54"/>
      <c r="BS79" s="54"/>
      <c r="BT79" s="54"/>
      <c r="BU79" s="54"/>
      <c r="BV79" s="54"/>
      <c r="BW79" s="54"/>
    </row>
    <row r="80" spans="1:75" x14ac:dyDescent="0.25">
      <c r="A80" s="83" t="s">
        <v>549</v>
      </c>
      <c r="B80" s="83"/>
      <c r="C80" s="83" t="s">
        <v>6</v>
      </c>
      <c r="D80" s="83" t="s">
        <v>79</v>
      </c>
      <c r="E80" s="54" t="str">
        <f>_xlfn.CONCAT(Table1[[#This Row],[Geographic Scope]],": ",Table1[[#This Row],[Sub-Type/Focus]])</f>
        <v>National: Single-Topic</v>
      </c>
      <c r="F80" s="55">
        <f>Table1[[#This Row],[Total Contributed Income]]+Table1[[#This Row],[Total Earned Income]]</f>
        <v>1514000</v>
      </c>
      <c r="G80" s="84">
        <f>IFERROR((Table1[[#This Row],[Cont. Income - Foundation]]+Table1[[#This Row],[Cont. Income - Membership]]+Table1[[#This Row],[Cont. Income - Small Donors]]+Table1[[#This Row],[Cont. Income - Med. Donors]]+Table1[[#This Row],[Cont. Income - Major Donors]]+Table1[[#This Row],[Cont. Income - Other]]),0)</f>
        <v>1514000</v>
      </c>
      <c r="H80" s="84">
        <f>IFERROR((Table1[[#This Row],[Earned Income - Advertising]]+Table1[[#This Row],[Earned Income - Sponsorships/Underwriting]]+Table1[[#This Row],[Earned Income - Events]]+Table1[[#This Row],[Earned Income - Subscriptions]]+Table1[[#This Row],[Earned Income - Syndication]]+Table1[[#This Row],[Earned Income - Other TOTAL]]),0)</f>
        <v>0</v>
      </c>
      <c r="I80" s="71">
        <v>0</v>
      </c>
      <c r="J80" s="71">
        <v>0</v>
      </c>
      <c r="K80" s="71">
        <v>14000</v>
      </c>
      <c r="L80" s="71">
        <v>0</v>
      </c>
      <c r="M80" s="71">
        <v>1500000</v>
      </c>
      <c r="N80" s="71">
        <v>0</v>
      </c>
      <c r="O80" s="76" t="s">
        <v>406</v>
      </c>
      <c r="P80" s="71">
        <v>0</v>
      </c>
      <c r="Q80" s="71">
        <v>0</v>
      </c>
      <c r="R80" s="71">
        <v>0</v>
      </c>
      <c r="S80" s="71">
        <v>0</v>
      </c>
      <c r="T80" s="71">
        <v>0</v>
      </c>
      <c r="U80" s="85">
        <f>IFERROR(Table1[[#This Row],[Earned Income - Training Fees]]+Table1[[#This Row],[Earned Income - Fees]]+Table1[[#This Row],[Earned Income - Investments]]+Table1[[#This Row],[Earned Income - Other]],0)</f>
        <v>0</v>
      </c>
      <c r="V80" s="71">
        <v>0</v>
      </c>
      <c r="W80" s="71">
        <v>0</v>
      </c>
      <c r="X80" s="83" t="s">
        <v>406</v>
      </c>
      <c r="Y80" s="71">
        <v>0</v>
      </c>
      <c r="Z80" s="71">
        <v>0</v>
      </c>
      <c r="AA80" s="83" t="s">
        <v>406</v>
      </c>
      <c r="AB80" s="85">
        <f t="shared" si="2"/>
        <v>1364330</v>
      </c>
      <c r="AC80" s="71">
        <v>617476</v>
      </c>
      <c r="AD80" s="85">
        <f>SUM(Table1[[#This Row],[Expenses - Revenue Generation]:[Expenses - Admin]])</f>
        <v>746854</v>
      </c>
      <c r="AE80" s="71">
        <v>238771</v>
      </c>
      <c r="AF80" s="71">
        <v>11446</v>
      </c>
      <c r="AG80" s="71">
        <v>496637</v>
      </c>
      <c r="AH80" s="72">
        <f>Table1[[#This Row],[Total FTE - Editorial]]+Table1[[#This Row],[Total FTE - Non-Editorial]]</f>
        <v>11.55</v>
      </c>
      <c r="AI80" s="72">
        <f>Table1[[#This Row],[FTE Salaried - Editorial]]+Table1[[#This Row],[FTE Contractors - Editorial]]</f>
        <v>9.5</v>
      </c>
      <c r="AJ80" s="56">
        <v>9.5</v>
      </c>
      <c r="AK80" s="56">
        <v>0</v>
      </c>
      <c r="AL80" s="57">
        <f>Table1[[#This Row],[FTE Salaried - Non-Editorial]]+Table1[[#This Row],[FTE Contractors - Non-Editorial]]</f>
        <v>2.0499999999999998</v>
      </c>
      <c r="AM80" s="56">
        <v>2</v>
      </c>
      <c r="AN80" s="56">
        <v>0.05</v>
      </c>
      <c r="AO80" s="83" t="s">
        <v>342</v>
      </c>
      <c r="AP80" s="83" t="s">
        <v>406</v>
      </c>
      <c r="AQ80" s="73">
        <v>166841</v>
      </c>
      <c r="AR80" s="73">
        <v>23208</v>
      </c>
      <c r="AS80" s="73">
        <v>0</v>
      </c>
      <c r="AT80" s="73">
        <v>0</v>
      </c>
      <c r="AU80" s="73">
        <v>0</v>
      </c>
      <c r="AV80" s="83" t="s">
        <v>406</v>
      </c>
      <c r="BC80" s="54"/>
      <c r="BD80" s="54"/>
      <c r="BE80" s="54"/>
      <c r="BF80" s="54"/>
      <c r="BG80" s="54"/>
      <c r="BI80" s="54"/>
      <c r="BK80" s="54"/>
      <c r="BL80" s="54"/>
      <c r="BM80" s="54"/>
      <c r="BN80" s="54"/>
      <c r="BO80" s="54"/>
      <c r="BP80" s="54"/>
      <c r="BS80" s="54"/>
      <c r="BT80" s="54"/>
      <c r="BU80" s="54"/>
      <c r="BV80" s="54"/>
      <c r="BW80" s="54"/>
    </row>
    <row r="81" spans="1:75" x14ac:dyDescent="0.25">
      <c r="A81" s="83" t="s">
        <v>550</v>
      </c>
      <c r="B81" s="83"/>
      <c r="C81" s="83" t="s">
        <v>6</v>
      </c>
      <c r="D81" s="83" t="s">
        <v>79</v>
      </c>
      <c r="E81" s="54" t="str">
        <f>_xlfn.CONCAT(Table1[[#This Row],[Geographic Scope]],": ",Table1[[#This Row],[Sub-Type/Focus]])</f>
        <v>National: Single-Topic</v>
      </c>
      <c r="F81" s="55">
        <f>Table1[[#This Row],[Total Contributed Income]]+Table1[[#This Row],[Total Earned Income]]</f>
        <v>0</v>
      </c>
      <c r="G81" s="84">
        <f>IFERROR((Table1[[#This Row],[Cont. Income - Foundation]]+Table1[[#This Row],[Cont. Income - Membership]]+Table1[[#This Row],[Cont. Income - Small Donors]]+Table1[[#This Row],[Cont. Income - Med. Donors]]+Table1[[#This Row],[Cont. Income - Major Donors]]+Table1[[#This Row],[Cont. Income - Other]]),0)</f>
        <v>0</v>
      </c>
      <c r="H81" s="84">
        <f>IFERROR((Table1[[#This Row],[Earned Income - Advertising]]+Table1[[#This Row],[Earned Income - Sponsorships/Underwriting]]+Table1[[#This Row],[Earned Income - Events]]+Table1[[#This Row],[Earned Income - Subscriptions]]+Table1[[#This Row],[Earned Income - Syndication]]+Table1[[#This Row],[Earned Income - Other TOTAL]]),0)</f>
        <v>0</v>
      </c>
      <c r="I81" s="71">
        <v>0</v>
      </c>
      <c r="J81" s="71">
        <v>0</v>
      </c>
      <c r="K81" s="71">
        <v>0</v>
      </c>
      <c r="L81" s="71">
        <v>0</v>
      </c>
      <c r="M81" s="71">
        <v>0</v>
      </c>
      <c r="N81" s="71">
        <v>0</v>
      </c>
      <c r="O81" s="76" t="s">
        <v>406</v>
      </c>
      <c r="P81" s="71">
        <v>0</v>
      </c>
      <c r="Q81" s="71">
        <v>0</v>
      </c>
      <c r="R81" s="71">
        <v>0</v>
      </c>
      <c r="S81" s="71">
        <v>0</v>
      </c>
      <c r="T81" s="71">
        <v>0</v>
      </c>
      <c r="U81" s="85">
        <f>IFERROR(Table1[[#This Row],[Earned Income - Training Fees]]+Table1[[#This Row],[Earned Income - Fees]]+Table1[[#This Row],[Earned Income - Investments]]+Table1[[#This Row],[Earned Income - Other]],0)</f>
        <v>0</v>
      </c>
      <c r="V81" s="71">
        <v>0</v>
      </c>
      <c r="W81" s="71">
        <v>0</v>
      </c>
      <c r="X81" s="83" t="s">
        <v>406</v>
      </c>
      <c r="Y81" s="71">
        <v>0</v>
      </c>
      <c r="Z81" s="71">
        <v>0</v>
      </c>
      <c r="AA81" s="83" t="s">
        <v>406</v>
      </c>
      <c r="AB81" s="85">
        <f t="shared" si="2"/>
        <v>0</v>
      </c>
      <c r="AC81" s="71">
        <v>0</v>
      </c>
      <c r="AD81" s="85">
        <f>SUM(Table1[[#This Row],[Expenses - Revenue Generation]:[Expenses - Admin]])</f>
        <v>0</v>
      </c>
      <c r="AE81" s="71">
        <v>0</v>
      </c>
      <c r="AF81" s="71">
        <v>0</v>
      </c>
      <c r="AG81" s="71">
        <v>0</v>
      </c>
      <c r="AH81" s="72">
        <f>Table1[[#This Row],[Total FTE - Editorial]]+Table1[[#This Row],[Total FTE - Non-Editorial]]</f>
        <v>16</v>
      </c>
      <c r="AI81" s="72">
        <f>Table1[[#This Row],[FTE Salaried - Editorial]]+Table1[[#This Row],[FTE Contractors - Editorial]]</f>
        <v>15</v>
      </c>
      <c r="AJ81" s="56">
        <v>15</v>
      </c>
      <c r="AK81" s="56">
        <v>0</v>
      </c>
      <c r="AL81" s="57">
        <f>Table1[[#This Row],[FTE Salaried - Non-Editorial]]+Table1[[#This Row],[FTE Contractors - Non-Editorial]]</f>
        <v>1</v>
      </c>
      <c r="AM81" s="56">
        <v>0</v>
      </c>
      <c r="AN81" s="56">
        <v>1</v>
      </c>
      <c r="AO81" s="83" t="s">
        <v>342</v>
      </c>
      <c r="AP81" s="83" t="s">
        <v>406</v>
      </c>
      <c r="AQ81" s="73">
        <v>345000</v>
      </c>
      <c r="AR81" s="73">
        <v>11000</v>
      </c>
      <c r="AS81" s="73">
        <v>0</v>
      </c>
      <c r="AT81" s="73">
        <v>0</v>
      </c>
      <c r="AU81" s="73">
        <v>0</v>
      </c>
      <c r="AV81" s="83" t="s">
        <v>406</v>
      </c>
      <c r="BC81" s="54"/>
      <c r="BD81" s="54"/>
      <c r="BE81" s="54"/>
      <c r="BF81" s="54"/>
      <c r="BG81" s="54"/>
      <c r="BI81" s="54"/>
      <c r="BK81" s="54"/>
      <c r="BL81" s="54"/>
      <c r="BM81" s="54"/>
      <c r="BN81" s="54"/>
      <c r="BO81" s="54"/>
      <c r="BP81" s="54"/>
      <c r="BS81" s="54"/>
      <c r="BT81" s="54"/>
      <c r="BU81" s="54"/>
      <c r="BV81" s="54"/>
      <c r="BW81" s="54"/>
    </row>
    <row r="82" spans="1:75" x14ac:dyDescent="0.25">
      <c r="A82" s="80" t="s">
        <v>551</v>
      </c>
      <c r="B82" s="80"/>
      <c r="C82" s="80" t="s">
        <v>6</v>
      </c>
      <c r="D82" s="80" t="s">
        <v>79</v>
      </c>
      <c r="E82" s="57" t="str">
        <f>_xlfn.CONCAT(Table1[[#This Row],[Geographic Scope]],": ",Table1[[#This Row],[Sub-Type/Focus]])</f>
        <v>National: Single-Topic</v>
      </c>
      <c r="F82" s="68">
        <f>Table1[[#This Row],[Total Contributed Income]]+Table1[[#This Row],[Total Earned Income]]</f>
        <v>0</v>
      </c>
      <c r="G82" s="86">
        <f>IFERROR((Table1[[#This Row],[Cont. Income - Foundation]]+Table1[[#This Row],[Cont. Income - Membership]]+Table1[[#This Row],[Cont. Income - Small Donors]]+Table1[[#This Row],[Cont. Income - Med. Donors]]+Table1[[#This Row],[Cont. Income - Major Donors]]+Table1[[#This Row],[Cont. Income - Other]]),0)</f>
        <v>0</v>
      </c>
      <c r="H82" s="86">
        <f>IFERROR((Table1[[#This Row],[Earned Income - Advertising]]+Table1[[#This Row],[Earned Income - Sponsorships/Underwriting]]+Table1[[#This Row],[Earned Income - Events]]+Table1[[#This Row],[Earned Income - Subscriptions]]+Table1[[#This Row],[Earned Income - Syndication]]+Table1[[#This Row],[Earned Income - Other TOTAL]]),0)</f>
        <v>0</v>
      </c>
      <c r="I82" s="71">
        <v>0</v>
      </c>
      <c r="J82" s="71">
        <v>0</v>
      </c>
      <c r="K82" s="71">
        <v>0</v>
      </c>
      <c r="L82" s="71">
        <v>0</v>
      </c>
      <c r="M82" s="71">
        <v>0</v>
      </c>
      <c r="N82" s="71">
        <v>0</v>
      </c>
      <c r="O82" s="76" t="s">
        <v>406</v>
      </c>
      <c r="P82" s="71">
        <v>0</v>
      </c>
      <c r="Q82" s="71">
        <v>0</v>
      </c>
      <c r="R82" s="71">
        <v>0</v>
      </c>
      <c r="S82" s="71">
        <v>0</v>
      </c>
      <c r="T82" s="71">
        <v>0</v>
      </c>
      <c r="U82" s="82">
        <f>IFERROR(Table1[[#This Row],[Earned Income - Training Fees]]+Table1[[#This Row],[Earned Income - Fees]]+Table1[[#This Row],[Earned Income - Investments]]+Table1[[#This Row],[Earned Income - Other]],0)</f>
        <v>0</v>
      </c>
      <c r="V82" s="71">
        <v>0</v>
      </c>
      <c r="W82" s="71">
        <v>0</v>
      </c>
      <c r="X82" s="80" t="s">
        <v>406</v>
      </c>
      <c r="Y82" s="71">
        <v>0</v>
      </c>
      <c r="Z82" s="71">
        <v>0</v>
      </c>
      <c r="AA82" s="80" t="s">
        <v>406</v>
      </c>
      <c r="AB82" s="82">
        <f t="shared" si="2"/>
        <v>0</v>
      </c>
      <c r="AC82" s="71">
        <v>0</v>
      </c>
      <c r="AD82" s="82">
        <f>SUM(Table1[[#This Row],[Expenses - Revenue Generation]:[Expenses - Admin]])</f>
        <v>0</v>
      </c>
      <c r="AE82" s="71">
        <v>0</v>
      </c>
      <c r="AF82" s="71">
        <v>0</v>
      </c>
      <c r="AG82" s="71">
        <v>0</v>
      </c>
      <c r="AH82" s="72">
        <f>Table1[[#This Row],[Total FTE - Editorial]]+Table1[[#This Row],[Total FTE - Non-Editorial]]</f>
        <v>4</v>
      </c>
      <c r="AI82" s="72">
        <f>Table1[[#This Row],[FTE Salaried - Editorial]]+Table1[[#This Row],[FTE Contractors - Editorial]]</f>
        <v>2</v>
      </c>
      <c r="AJ82" s="56">
        <v>0</v>
      </c>
      <c r="AK82" s="56">
        <v>2</v>
      </c>
      <c r="AL82" s="57">
        <f>Table1[[#This Row],[FTE Salaried - Non-Editorial]]+Table1[[#This Row],[FTE Contractors - Non-Editorial]]</f>
        <v>2</v>
      </c>
      <c r="AM82" s="56">
        <v>2</v>
      </c>
      <c r="AN82" s="56">
        <v>0</v>
      </c>
      <c r="AO82" s="80" t="s">
        <v>342</v>
      </c>
      <c r="AP82" s="80" t="s">
        <v>406</v>
      </c>
      <c r="AQ82" s="73">
        <v>20000</v>
      </c>
      <c r="AR82" s="73">
        <v>6200</v>
      </c>
      <c r="AS82" s="73">
        <v>0</v>
      </c>
      <c r="AT82" s="73">
        <v>0</v>
      </c>
      <c r="AU82" s="73">
        <v>0</v>
      </c>
      <c r="AV82" s="80" t="s">
        <v>406</v>
      </c>
      <c r="BC82" s="54"/>
      <c r="BD82" s="54"/>
      <c r="BE82" s="54"/>
      <c r="BF82" s="54"/>
      <c r="BG82" s="54"/>
      <c r="BI82" s="54"/>
      <c r="BK82" s="54"/>
      <c r="BL82" s="54"/>
      <c r="BM82" s="54"/>
      <c r="BN82" s="54"/>
      <c r="BO82" s="54"/>
      <c r="BP82" s="54"/>
      <c r="BS82" s="54"/>
      <c r="BT82" s="54"/>
      <c r="BU82" s="54"/>
      <c r="BV82" s="54"/>
      <c r="BW82" s="54"/>
    </row>
    <row r="83" spans="1:75" x14ac:dyDescent="0.25">
      <c r="A83" s="83" t="s">
        <v>552</v>
      </c>
      <c r="B83" s="83"/>
      <c r="C83" s="83" t="s">
        <v>7</v>
      </c>
      <c r="D83" s="83" t="s">
        <v>78</v>
      </c>
      <c r="E83" s="54" t="str">
        <f>_xlfn.CONCAT(Table1[[#This Row],[Geographic Scope]],": ",Table1[[#This Row],[Sub-Type/Focus]])</f>
        <v>Local: Multiple Related Topics</v>
      </c>
      <c r="F83" s="55">
        <f>Table1[[#This Row],[Total Contributed Income]]+Table1[[#This Row],[Total Earned Income]]</f>
        <v>579823.71000000008</v>
      </c>
      <c r="G83" s="84">
        <f>IFERROR((Table1[[#This Row],[Cont. Income - Foundation]]+Table1[[#This Row],[Cont. Income - Membership]]+Table1[[#This Row],[Cont. Income - Small Donors]]+Table1[[#This Row],[Cont. Income - Med. Donors]]+Table1[[#This Row],[Cont. Income - Major Donors]]+Table1[[#This Row],[Cont. Income - Other]]),0)</f>
        <v>579823.71000000008</v>
      </c>
      <c r="H83" s="84">
        <f>IFERROR((Table1[[#This Row],[Earned Income - Advertising]]+Table1[[#This Row],[Earned Income - Sponsorships/Underwriting]]+Table1[[#This Row],[Earned Income - Events]]+Table1[[#This Row],[Earned Income - Subscriptions]]+Table1[[#This Row],[Earned Income - Syndication]]+Table1[[#This Row],[Earned Income - Other TOTAL]]),0)</f>
        <v>0</v>
      </c>
      <c r="I83" s="71">
        <v>422500</v>
      </c>
      <c r="J83" s="71">
        <v>0</v>
      </c>
      <c r="K83" s="71">
        <v>22747</v>
      </c>
      <c r="L83" s="71">
        <v>45408.56</v>
      </c>
      <c r="M83" s="71">
        <v>75000</v>
      </c>
      <c r="N83" s="71">
        <v>14168.15</v>
      </c>
      <c r="O83" s="76" t="s">
        <v>553</v>
      </c>
      <c r="P83" s="71">
        <v>0</v>
      </c>
      <c r="Q83" s="71">
        <v>0</v>
      </c>
      <c r="R83" s="71">
        <v>0</v>
      </c>
      <c r="S83" s="71">
        <v>0</v>
      </c>
      <c r="T83" s="71">
        <v>0</v>
      </c>
      <c r="U83" s="85">
        <f>IFERROR(Table1[[#This Row],[Earned Income - Training Fees]]+Table1[[#This Row],[Earned Income - Fees]]+Table1[[#This Row],[Earned Income - Investments]]+Table1[[#This Row],[Earned Income - Other]],0)</f>
        <v>0</v>
      </c>
      <c r="V83" s="71">
        <v>0</v>
      </c>
      <c r="W83" s="71">
        <v>0</v>
      </c>
      <c r="X83" s="83" t="s">
        <v>406</v>
      </c>
      <c r="Y83" s="71">
        <v>0</v>
      </c>
      <c r="Z83" s="71">
        <v>0</v>
      </c>
      <c r="AA83" s="83" t="s">
        <v>406</v>
      </c>
      <c r="AB83" s="85">
        <f t="shared" si="2"/>
        <v>562560.80000000005</v>
      </c>
      <c r="AC83" s="71">
        <v>350690.17</v>
      </c>
      <c r="AD83" s="85">
        <f>SUM(Table1[[#This Row],[Expenses - Revenue Generation]:[Expenses - Admin]])</f>
        <v>211870.63</v>
      </c>
      <c r="AE83" s="71">
        <v>77000</v>
      </c>
      <c r="AF83" s="71">
        <v>13463.57</v>
      </c>
      <c r="AG83" s="71">
        <v>121407.06</v>
      </c>
      <c r="AH83" s="72">
        <f>Table1[[#This Row],[Total FTE - Editorial]]+Table1[[#This Row],[Total FTE - Non-Editorial]]</f>
        <v>9</v>
      </c>
      <c r="AI83" s="72">
        <f>Table1[[#This Row],[FTE Salaried - Editorial]]+Table1[[#This Row],[FTE Contractors - Editorial]]</f>
        <v>7</v>
      </c>
      <c r="AJ83" s="56">
        <v>4</v>
      </c>
      <c r="AK83" s="56">
        <v>3</v>
      </c>
      <c r="AL83" s="57">
        <f>Table1[[#This Row],[FTE Salaried - Non-Editorial]]+Table1[[#This Row],[FTE Contractors - Non-Editorial]]</f>
        <v>2</v>
      </c>
      <c r="AM83" s="56">
        <v>2</v>
      </c>
      <c r="AN83" s="56">
        <v>0</v>
      </c>
      <c r="AO83" s="83" t="s">
        <v>342</v>
      </c>
      <c r="AP83" s="83" t="s">
        <v>406</v>
      </c>
      <c r="AQ83" s="73">
        <v>150000</v>
      </c>
      <c r="AR83" s="73">
        <v>7500</v>
      </c>
      <c r="AS83" s="73">
        <v>0</v>
      </c>
      <c r="AT83" s="73">
        <v>0</v>
      </c>
      <c r="AU83" s="73">
        <v>0</v>
      </c>
      <c r="AV83" s="83" t="s">
        <v>406</v>
      </c>
      <c r="BC83" s="54"/>
      <c r="BD83" s="54"/>
      <c r="BE83" s="54"/>
      <c r="BF83" s="54"/>
      <c r="BG83" s="54"/>
      <c r="BI83" s="54"/>
      <c r="BK83" s="54"/>
      <c r="BL83" s="54"/>
      <c r="BM83" s="54"/>
      <c r="BN83" s="54"/>
      <c r="BO83" s="54"/>
      <c r="BP83" s="54"/>
      <c r="BS83" s="54"/>
      <c r="BT83" s="54"/>
      <c r="BU83" s="54"/>
      <c r="BV83" s="54"/>
      <c r="BW83" s="54"/>
    </row>
    <row r="84" spans="1:75" x14ac:dyDescent="0.25">
      <c r="A84" s="83" t="s">
        <v>554</v>
      </c>
      <c r="B84" s="83"/>
      <c r="C84" s="83" t="s">
        <v>7</v>
      </c>
      <c r="D84" s="83" t="s">
        <v>78</v>
      </c>
      <c r="E84" s="54" t="str">
        <f>_xlfn.CONCAT(Table1[[#This Row],[Geographic Scope]],": ",Table1[[#This Row],[Sub-Type/Focus]])</f>
        <v>Local: Multiple Related Topics</v>
      </c>
      <c r="F84" s="55">
        <f>Table1[[#This Row],[Total Contributed Income]]+Table1[[#This Row],[Total Earned Income]]</f>
        <v>1724883</v>
      </c>
      <c r="G84" s="84">
        <f>IFERROR((Table1[[#This Row],[Cont. Income - Foundation]]+Table1[[#This Row],[Cont. Income - Membership]]+Table1[[#This Row],[Cont. Income - Small Donors]]+Table1[[#This Row],[Cont. Income - Med. Donors]]+Table1[[#This Row],[Cont. Income - Major Donors]]+Table1[[#This Row],[Cont. Income - Other]]),0)</f>
        <v>1492955</v>
      </c>
      <c r="H84" s="84">
        <f>IFERROR((Table1[[#This Row],[Earned Income - Advertising]]+Table1[[#This Row],[Earned Income - Sponsorships/Underwriting]]+Table1[[#This Row],[Earned Income - Events]]+Table1[[#This Row],[Earned Income - Subscriptions]]+Table1[[#This Row],[Earned Income - Syndication]]+Table1[[#This Row],[Earned Income - Other TOTAL]]),0)</f>
        <v>231928</v>
      </c>
      <c r="I84" s="71">
        <v>298120</v>
      </c>
      <c r="J84" s="71">
        <v>0</v>
      </c>
      <c r="K84" s="71">
        <v>327352</v>
      </c>
      <c r="L84" s="71">
        <v>108016</v>
      </c>
      <c r="M84" s="71">
        <v>759467</v>
      </c>
      <c r="N84" s="71">
        <v>0</v>
      </c>
      <c r="O84" s="76" t="s">
        <v>406</v>
      </c>
      <c r="P84" s="71">
        <v>9420</v>
      </c>
      <c r="Q84" s="71">
        <v>101252</v>
      </c>
      <c r="R84" s="71">
        <v>67780</v>
      </c>
      <c r="S84" s="71">
        <v>0</v>
      </c>
      <c r="T84" s="71">
        <v>46500</v>
      </c>
      <c r="U84" s="85">
        <f>IFERROR(Table1[[#This Row],[Earned Income - Training Fees]]+Table1[[#This Row],[Earned Income - Fees]]+Table1[[#This Row],[Earned Income - Investments]]+Table1[[#This Row],[Earned Income - Other]],0)</f>
        <v>6976</v>
      </c>
      <c r="V84" s="71">
        <v>0</v>
      </c>
      <c r="W84" s="71">
        <v>0</v>
      </c>
      <c r="X84" s="83" t="s">
        <v>406</v>
      </c>
      <c r="Y84" s="71">
        <v>6976</v>
      </c>
      <c r="Z84" s="71">
        <v>0</v>
      </c>
      <c r="AA84" s="83" t="s">
        <v>406</v>
      </c>
      <c r="AB84" s="85">
        <f t="shared" si="2"/>
        <v>1864349</v>
      </c>
      <c r="AC84" s="71">
        <v>1173362</v>
      </c>
      <c r="AD84" s="85">
        <f>SUM(Table1[[#This Row],[Expenses - Revenue Generation]:[Expenses - Admin]])</f>
        <v>690987</v>
      </c>
      <c r="AE84" s="71">
        <v>235399</v>
      </c>
      <c r="AF84" s="71">
        <v>0</v>
      </c>
      <c r="AG84" s="71">
        <v>455588</v>
      </c>
      <c r="AH84" s="72">
        <f>Table1[[#This Row],[Total FTE - Editorial]]+Table1[[#This Row],[Total FTE - Non-Editorial]]</f>
        <v>15</v>
      </c>
      <c r="AI84" s="72">
        <f>Table1[[#This Row],[FTE Salaried - Editorial]]+Table1[[#This Row],[FTE Contractors - Editorial]]</f>
        <v>12</v>
      </c>
      <c r="AJ84" s="56">
        <v>12</v>
      </c>
      <c r="AK84" s="56">
        <v>0</v>
      </c>
      <c r="AL84" s="57">
        <f>Table1[[#This Row],[FTE Salaried - Non-Editorial]]+Table1[[#This Row],[FTE Contractors - Non-Editorial]]</f>
        <v>3</v>
      </c>
      <c r="AM84" s="56">
        <v>3</v>
      </c>
      <c r="AN84" s="56">
        <v>0</v>
      </c>
      <c r="AO84" s="83" t="s">
        <v>342</v>
      </c>
      <c r="AP84" s="83" t="s">
        <v>406</v>
      </c>
      <c r="AQ84" s="73">
        <v>150000</v>
      </c>
      <c r="AR84" s="73">
        <v>25000</v>
      </c>
      <c r="AS84" s="73">
        <v>50000</v>
      </c>
      <c r="AT84" s="73">
        <v>1</v>
      </c>
      <c r="AU84" s="73">
        <v>20000</v>
      </c>
      <c r="AV84" s="83" t="s">
        <v>555</v>
      </c>
      <c r="BC84" s="54"/>
      <c r="BD84" s="54"/>
      <c r="BE84" s="54"/>
      <c r="BF84" s="54"/>
      <c r="BG84" s="54"/>
      <c r="BI84" s="54"/>
      <c r="BK84" s="54"/>
      <c r="BL84" s="54"/>
      <c r="BM84" s="54"/>
      <c r="BN84" s="54"/>
      <c r="BO84" s="54"/>
      <c r="BP84" s="54"/>
      <c r="BS84" s="54"/>
      <c r="BT84" s="54"/>
      <c r="BU84" s="54"/>
      <c r="BV84" s="54"/>
      <c r="BW84" s="54"/>
    </row>
    <row r="85" spans="1:75" x14ac:dyDescent="0.25">
      <c r="A85" s="83" t="s">
        <v>556</v>
      </c>
      <c r="B85" s="83"/>
      <c r="C85" s="83" t="s">
        <v>7</v>
      </c>
      <c r="D85" s="83" t="s">
        <v>78</v>
      </c>
      <c r="E85" s="54" t="str">
        <f>_xlfn.CONCAT(Table1[[#This Row],[Geographic Scope]],": ",Table1[[#This Row],[Sub-Type/Focus]])</f>
        <v>Local: Multiple Related Topics</v>
      </c>
      <c r="F85" s="55">
        <f>Table1[[#This Row],[Total Contributed Income]]+Table1[[#This Row],[Total Earned Income]]</f>
        <v>73000</v>
      </c>
      <c r="G85" s="84">
        <f>IFERROR((Table1[[#This Row],[Cont. Income - Foundation]]+Table1[[#This Row],[Cont. Income - Membership]]+Table1[[#This Row],[Cont. Income - Small Donors]]+Table1[[#This Row],[Cont. Income - Med. Donors]]+Table1[[#This Row],[Cont. Income - Major Donors]]+Table1[[#This Row],[Cont. Income - Other]]),0)</f>
        <v>70000</v>
      </c>
      <c r="H85" s="84">
        <f>IFERROR((Table1[[#This Row],[Earned Income - Advertising]]+Table1[[#This Row],[Earned Income - Sponsorships/Underwriting]]+Table1[[#This Row],[Earned Income - Events]]+Table1[[#This Row],[Earned Income - Subscriptions]]+Table1[[#This Row],[Earned Income - Syndication]]+Table1[[#This Row],[Earned Income - Other TOTAL]]),0)</f>
        <v>3000</v>
      </c>
      <c r="I85" s="71">
        <v>40000</v>
      </c>
      <c r="J85" s="71">
        <v>3000</v>
      </c>
      <c r="K85" s="71">
        <v>17500</v>
      </c>
      <c r="L85" s="71">
        <v>4000</v>
      </c>
      <c r="M85" s="71">
        <v>5500</v>
      </c>
      <c r="N85" s="71">
        <v>0</v>
      </c>
      <c r="O85" s="76" t="s">
        <v>406</v>
      </c>
      <c r="P85" s="71">
        <v>0</v>
      </c>
      <c r="Q85" s="71">
        <v>3000</v>
      </c>
      <c r="R85" s="71">
        <v>0</v>
      </c>
      <c r="S85" s="71">
        <v>0</v>
      </c>
      <c r="T85" s="71">
        <v>0</v>
      </c>
      <c r="U85" s="85">
        <f>IFERROR(Table1[[#This Row],[Earned Income - Training Fees]]+Table1[[#This Row],[Earned Income - Fees]]+Table1[[#This Row],[Earned Income - Investments]]+Table1[[#This Row],[Earned Income - Other]],0)</f>
        <v>0</v>
      </c>
      <c r="V85" s="71">
        <v>0</v>
      </c>
      <c r="W85" s="71">
        <v>0</v>
      </c>
      <c r="X85" s="83" t="s">
        <v>406</v>
      </c>
      <c r="Y85" s="71">
        <v>0</v>
      </c>
      <c r="Z85" s="71">
        <v>0</v>
      </c>
      <c r="AA85" s="83" t="s">
        <v>406</v>
      </c>
      <c r="AB85" s="85">
        <f t="shared" si="2"/>
        <v>58820</v>
      </c>
      <c r="AC85" s="71">
        <v>41600</v>
      </c>
      <c r="AD85" s="85">
        <f>SUM(Table1[[#This Row],[Expenses - Revenue Generation]:[Expenses - Admin]])</f>
        <v>17220</v>
      </c>
      <c r="AE85" s="71">
        <v>3500</v>
      </c>
      <c r="AF85" s="71">
        <v>1920</v>
      </c>
      <c r="AG85" s="71">
        <v>11800</v>
      </c>
      <c r="AH85" s="72">
        <f>Table1[[#This Row],[Total FTE - Editorial]]+Table1[[#This Row],[Total FTE - Non-Editorial]]</f>
        <v>3.1</v>
      </c>
      <c r="AI85" s="72">
        <f>Table1[[#This Row],[FTE Salaried - Editorial]]+Table1[[#This Row],[FTE Contractors - Editorial]]</f>
        <v>2</v>
      </c>
      <c r="AJ85" s="56">
        <v>0</v>
      </c>
      <c r="AK85" s="56">
        <v>2</v>
      </c>
      <c r="AL85" s="57">
        <f>Table1[[#This Row],[FTE Salaried - Non-Editorial]]+Table1[[#This Row],[FTE Contractors - Non-Editorial]]</f>
        <v>1.1000000000000001</v>
      </c>
      <c r="AM85" s="56">
        <v>1.1000000000000001</v>
      </c>
      <c r="AN85" s="56">
        <v>0</v>
      </c>
      <c r="AO85" s="83" t="s">
        <v>342</v>
      </c>
      <c r="AP85" s="83" t="s">
        <v>406</v>
      </c>
      <c r="AQ85" s="73">
        <v>16800</v>
      </c>
      <c r="AR85" s="73">
        <v>1585</v>
      </c>
      <c r="AS85" s="73">
        <v>0</v>
      </c>
      <c r="AT85" s="73">
        <v>0</v>
      </c>
      <c r="AU85" s="73">
        <v>0</v>
      </c>
      <c r="AV85" s="83" t="s">
        <v>406</v>
      </c>
      <c r="BC85" s="54"/>
      <c r="BD85" s="54"/>
      <c r="BE85" s="54"/>
      <c r="BF85" s="54"/>
      <c r="BG85" s="54"/>
      <c r="BI85" s="54"/>
      <c r="BK85" s="54"/>
      <c r="BL85" s="54"/>
      <c r="BM85" s="54"/>
      <c r="BN85" s="54"/>
      <c r="BO85" s="54"/>
      <c r="BP85" s="54"/>
      <c r="BS85" s="54"/>
      <c r="BT85" s="54"/>
      <c r="BU85" s="54"/>
      <c r="BV85" s="54"/>
      <c r="BW85" s="54"/>
    </row>
    <row r="86" spans="1:75" x14ac:dyDescent="0.25">
      <c r="A86" s="83" t="s">
        <v>557</v>
      </c>
      <c r="B86" s="83"/>
      <c r="C86" s="83" t="s">
        <v>83</v>
      </c>
      <c r="D86" s="83" t="s">
        <v>78</v>
      </c>
      <c r="E86" s="54" t="str">
        <f>_xlfn.CONCAT(Table1[[#This Row],[Geographic Scope]],": ",Table1[[#This Row],[Sub-Type/Focus]])</f>
        <v>State: Multiple Related Topics</v>
      </c>
      <c r="F86" s="55">
        <f>Table1[[#This Row],[Total Contributed Income]]+Table1[[#This Row],[Total Earned Income]]</f>
        <v>2091903</v>
      </c>
      <c r="G86" s="84">
        <f>IFERROR((Table1[[#This Row],[Cont. Income - Foundation]]+Table1[[#This Row],[Cont. Income - Membership]]+Table1[[#This Row],[Cont. Income - Small Donors]]+Table1[[#This Row],[Cont. Income - Med. Donors]]+Table1[[#This Row],[Cont. Income - Major Donors]]+Table1[[#This Row],[Cont. Income - Other]]),0)</f>
        <v>1664786</v>
      </c>
      <c r="H86" s="84">
        <f>IFERROR((Table1[[#This Row],[Earned Income - Advertising]]+Table1[[#This Row],[Earned Income - Sponsorships/Underwriting]]+Table1[[#This Row],[Earned Income - Events]]+Table1[[#This Row],[Earned Income - Subscriptions]]+Table1[[#This Row],[Earned Income - Syndication]]+Table1[[#This Row],[Earned Income - Other TOTAL]]),0)</f>
        <v>427117</v>
      </c>
      <c r="I86" s="71">
        <v>315799</v>
      </c>
      <c r="J86" s="71">
        <v>0</v>
      </c>
      <c r="K86" s="71">
        <v>438492</v>
      </c>
      <c r="L86" s="71">
        <v>113524</v>
      </c>
      <c r="M86" s="71">
        <v>642374</v>
      </c>
      <c r="N86" s="71">
        <v>154597</v>
      </c>
      <c r="O86" s="76" t="s">
        <v>558</v>
      </c>
      <c r="P86" s="71">
        <v>0</v>
      </c>
      <c r="Q86" s="71">
        <v>368865</v>
      </c>
      <c r="R86" s="71">
        <v>7070</v>
      </c>
      <c r="S86" s="71">
        <v>0</v>
      </c>
      <c r="T86" s="71">
        <v>46578</v>
      </c>
      <c r="U86" s="85">
        <f>IFERROR(Table1[[#This Row],[Earned Income - Training Fees]]+Table1[[#This Row],[Earned Income - Fees]]+Table1[[#This Row],[Earned Income - Investments]]+Table1[[#This Row],[Earned Income - Other]],0)</f>
        <v>4604</v>
      </c>
      <c r="V86" s="71">
        <v>0</v>
      </c>
      <c r="W86" s="71">
        <v>0</v>
      </c>
      <c r="X86" s="83" t="s">
        <v>406</v>
      </c>
      <c r="Y86" s="71">
        <v>0</v>
      </c>
      <c r="Z86" s="71">
        <v>4604</v>
      </c>
      <c r="AA86" s="83" t="s">
        <v>559</v>
      </c>
      <c r="AB86" s="85">
        <f t="shared" si="2"/>
        <v>2018938</v>
      </c>
      <c r="AC86" s="71">
        <v>1709824</v>
      </c>
      <c r="AD86" s="85">
        <f>SUM(Table1[[#This Row],[Expenses - Revenue Generation]:[Expenses - Admin]])</f>
        <v>309114</v>
      </c>
      <c r="AE86" s="71">
        <v>251265</v>
      </c>
      <c r="AF86" s="71">
        <v>0</v>
      </c>
      <c r="AG86" s="71">
        <v>57849</v>
      </c>
      <c r="AH86" s="72">
        <f>Table1[[#This Row],[Total FTE - Editorial]]+Table1[[#This Row],[Total FTE - Non-Editorial]]</f>
        <v>28</v>
      </c>
      <c r="AI86" s="72">
        <f>Table1[[#This Row],[FTE Salaried - Editorial]]+Table1[[#This Row],[FTE Contractors - Editorial]]</f>
        <v>20</v>
      </c>
      <c r="AJ86" s="56">
        <v>17</v>
      </c>
      <c r="AK86" s="56">
        <v>3</v>
      </c>
      <c r="AL86" s="57">
        <f>Table1[[#This Row],[FTE Salaried - Non-Editorial]]+Table1[[#This Row],[FTE Contractors - Non-Editorial]]</f>
        <v>8</v>
      </c>
      <c r="AM86" s="56">
        <v>6</v>
      </c>
      <c r="AN86" s="56">
        <v>2</v>
      </c>
      <c r="AO86" s="83" t="s">
        <v>342</v>
      </c>
      <c r="AP86" s="83" t="s">
        <v>406</v>
      </c>
      <c r="AQ86" s="73">
        <v>350000</v>
      </c>
      <c r="AR86" s="73">
        <v>32000</v>
      </c>
      <c r="AS86" s="73">
        <v>0</v>
      </c>
      <c r="AT86" s="73">
        <v>0</v>
      </c>
      <c r="AU86" s="73">
        <v>116000</v>
      </c>
      <c r="AV86" s="83" t="s">
        <v>560</v>
      </c>
      <c r="BC86" s="54"/>
      <c r="BD86" s="54"/>
      <c r="BE86" s="54"/>
      <c r="BF86" s="54"/>
      <c r="BG86" s="54"/>
      <c r="BI86" s="54"/>
      <c r="BK86" s="54"/>
      <c r="BL86" s="54"/>
      <c r="BM86" s="54"/>
      <c r="BN86" s="54"/>
      <c r="BO86" s="54"/>
      <c r="BP86" s="54"/>
      <c r="BS86" s="54"/>
      <c r="BT86" s="54"/>
      <c r="BU86" s="54"/>
      <c r="BV86" s="54"/>
      <c r="BW86" s="54"/>
    </row>
    <row r="87" spans="1:75" x14ac:dyDescent="0.25">
      <c r="A87" s="83" t="s">
        <v>561</v>
      </c>
      <c r="B87" s="83"/>
      <c r="C87" s="83" t="s">
        <v>7</v>
      </c>
      <c r="D87" s="83" t="s">
        <v>77</v>
      </c>
      <c r="E87" s="54" t="str">
        <f>_xlfn.CONCAT(Table1[[#This Row],[Geographic Scope]],": ",Table1[[#This Row],[Sub-Type/Focus]])</f>
        <v>Local: General</v>
      </c>
      <c r="F87" s="55">
        <f>Table1[[#This Row],[Total Contributed Income]]+Table1[[#This Row],[Total Earned Income]]</f>
        <v>127868</v>
      </c>
      <c r="G87" s="84">
        <f>IFERROR((Table1[[#This Row],[Cont. Income - Foundation]]+Table1[[#This Row],[Cont. Income - Membership]]+Table1[[#This Row],[Cont. Income - Small Donors]]+Table1[[#This Row],[Cont. Income - Med. Donors]]+Table1[[#This Row],[Cont. Income - Major Donors]]+Table1[[#This Row],[Cont. Income - Other]]),0)</f>
        <v>100362</v>
      </c>
      <c r="H87" s="84">
        <f>IFERROR((Table1[[#This Row],[Earned Income - Advertising]]+Table1[[#This Row],[Earned Income - Sponsorships/Underwriting]]+Table1[[#This Row],[Earned Income - Events]]+Table1[[#This Row],[Earned Income - Subscriptions]]+Table1[[#This Row],[Earned Income - Syndication]]+Table1[[#This Row],[Earned Income - Other TOTAL]]),0)</f>
        <v>27506</v>
      </c>
      <c r="I87" s="71">
        <v>19150</v>
      </c>
      <c r="J87" s="71">
        <v>4344</v>
      </c>
      <c r="K87" s="71">
        <v>23868</v>
      </c>
      <c r="L87" s="71">
        <v>3000</v>
      </c>
      <c r="M87" s="71">
        <v>50000</v>
      </c>
      <c r="N87" s="71">
        <v>0</v>
      </c>
      <c r="O87" s="76" t="s">
        <v>406</v>
      </c>
      <c r="P87" s="71">
        <v>27506</v>
      </c>
      <c r="Q87" s="71">
        <v>0</v>
      </c>
      <c r="R87" s="71">
        <v>0</v>
      </c>
      <c r="S87" s="71">
        <v>0</v>
      </c>
      <c r="T87" s="71">
        <v>0</v>
      </c>
      <c r="U87" s="85">
        <f>IFERROR(Table1[[#This Row],[Earned Income - Training Fees]]+Table1[[#This Row],[Earned Income - Fees]]+Table1[[#This Row],[Earned Income - Investments]]+Table1[[#This Row],[Earned Income - Other]],0)</f>
        <v>0</v>
      </c>
      <c r="V87" s="71">
        <v>0</v>
      </c>
      <c r="W87" s="71">
        <v>0</v>
      </c>
      <c r="X87" s="83" t="s">
        <v>406</v>
      </c>
      <c r="Y87" s="71">
        <v>0</v>
      </c>
      <c r="Z87" s="71">
        <v>0</v>
      </c>
      <c r="AA87" s="83" t="s">
        <v>406</v>
      </c>
      <c r="AB87" s="85">
        <f t="shared" si="2"/>
        <v>124991</v>
      </c>
      <c r="AC87" s="71">
        <v>62800</v>
      </c>
      <c r="AD87" s="85">
        <f>SUM(Table1[[#This Row],[Expenses - Revenue Generation]:[Expenses - Admin]])</f>
        <v>62191</v>
      </c>
      <c r="AE87" s="71">
        <v>1800</v>
      </c>
      <c r="AF87" s="71">
        <v>4855</v>
      </c>
      <c r="AG87" s="71">
        <v>55536</v>
      </c>
      <c r="AH87" s="72">
        <f>Table1[[#This Row],[Total FTE - Editorial]]+Table1[[#This Row],[Total FTE - Non-Editorial]]</f>
        <v>5</v>
      </c>
      <c r="AI87" s="72">
        <f>Table1[[#This Row],[FTE Salaried - Editorial]]+Table1[[#This Row],[FTE Contractors - Editorial]]</f>
        <v>4</v>
      </c>
      <c r="AJ87" s="56">
        <v>2</v>
      </c>
      <c r="AK87" s="56">
        <v>2</v>
      </c>
      <c r="AL87" s="57">
        <f>Table1[[#This Row],[FTE Salaried - Non-Editorial]]+Table1[[#This Row],[FTE Contractors - Non-Editorial]]</f>
        <v>1</v>
      </c>
      <c r="AM87" s="56">
        <v>1</v>
      </c>
      <c r="AN87" s="56">
        <v>0</v>
      </c>
      <c r="AO87" s="83" t="s">
        <v>342</v>
      </c>
      <c r="AP87" s="83" t="s">
        <v>406</v>
      </c>
      <c r="AQ87" s="73">
        <v>83399</v>
      </c>
      <c r="AR87" s="73">
        <v>3551</v>
      </c>
      <c r="AS87" s="73">
        <v>0</v>
      </c>
      <c r="AT87" s="73">
        <v>0</v>
      </c>
      <c r="AU87" s="73">
        <v>0</v>
      </c>
      <c r="AV87" s="83" t="s">
        <v>406</v>
      </c>
      <c r="BC87" s="54"/>
      <c r="BD87" s="54"/>
      <c r="BE87" s="54"/>
      <c r="BF87" s="54"/>
      <c r="BG87" s="54"/>
      <c r="BI87" s="54"/>
      <c r="BK87" s="54"/>
      <c r="BL87" s="54"/>
      <c r="BM87" s="54"/>
      <c r="BN87" s="54"/>
      <c r="BO87" s="54"/>
      <c r="BP87" s="54"/>
      <c r="BS87" s="54"/>
      <c r="BT87" s="54"/>
      <c r="BU87" s="54"/>
      <c r="BV87" s="54"/>
      <c r="BW87" s="54"/>
    </row>
    <row r="88" spans="1:75" x14ac:dyDescent="0.25">
      <c r="A88" s="83" t="s">
        <v>562</v>
      </c>
      <c r="B88" s="83"/>
      <c r="C88" s="83" t="s">
        <v>83</v>
      </c>
      <c r="D88" s="83" t="s">
        <v>77</v>
      </c>
      <c r="E88" s="54" t="str">
        <f>_xlfn.CONCAT(Table1[[#This Row],[Geographic Scope]],": ",Table1[[#This Row],[Sub-Type/Focus]])</f>
        <v>State: General</v>
      </c>
      <c r="F88" s="55">
        <f>Table1[[#This Row],[Total Contributed Income]]+Table1[[#This Row],[Total Earned Income]]</f>
        <v>939673.09</v>
      </c>
      <c r="G88" s="84">
        <f>IFERROR((Table1[[#This Row],[Cont. Income - Foundation]]+Table1[[#This Row],[Cont. Income - Membership]]+Table1[[#This Row],[Cont. Income - Small Donors]]+Table1[[#This Row],[Cont. Income - Med. Donors]]+Table1[[#This Row],[Cont. Income - Major Donors]]+Table1[[#This Row],[Cont. Income - Other]]),0)</f>
        <v>853016.09</v>
      </c>
      <c r="H88" s="84">
        <f>IFERROR((Table1[[#This Row],[Earned Income - Advertising]]+Table1[[#This Row],[Earned Income - Sponsorships/Underwriting]]+Table1[[#This Row],[Earned Income - Events]]+Table1[[#This Row],[Earned Income - Subscriptions]]+Table1[[#This Row],[Earned Income - Syndication]]+Table1[[#This Row],[Earned Income - Other TOTAL]]),0)</f>
        <v>86657</v>
      </c>
      <c r="I88" s="71">
        <v>405000</v>
      </c>
      <c r="J88" s="71">
        <v>0</v>
      </c>
      <c r="K88" s="71">
        <v>38474.67</v>
      </c>
      <c r="L88" s="71">
        <v>59468</v>
      </c>
      <c r="M88" s="71">
        <v>350073.42</v>
      </c>
      <c r="N88" s="71">
        <v>0</v>
      </c>
      <c r="O88" s="76" t="s">
        <v>406</v>
      </c>
      <c r="P88" s="71">
        <v>0</v>
      </c>
      <c r="Q88" s="71">
        <v>0</v>
      </c>
      <c r="R88" s="71">
        <v>20417</v>
      </c>
      <c r="S88" s="71">
        <v>0</v>
      </c>
      <c r="T88" s="71">
        <v>6240</v>
      </c>
      <c r="U88" s="85">
        <f>IFERROR(Table1[[#This Row],[Earned Income - Training Fees]]+Table1[[#This Row],[Earned Income - Fees]]+Table1[[#This Row],[Earned Income - Investments]]+Table1[[#This Row],[Earned Income - Other]],0)</f>
        <v>60000</v>
      </c>
      <c r="V88" s="71">
        <v>0</v>
      </c>
      <c r="W88" s="71">
        <v>0</v>
      </c>
      <c r="X88" s="83" t="s">
        <v>406</v>
      </c>
      <c r="Y88" s="71">
        <v>0</v>
      </c>
      <c r="Z88" s="71">
        <v>60000</v>
      </c>
      <c r="AA88" s="83" t="s">
        <v>563</v>
      </c>
      <c r="AB88" s="85">
        <f t="shared" si="2"/>
        <v>669729</v>
      </c>
      <c r="AC88" s="71">
        <v>418353</v>
      </c>
      <c r="AD88" s="85">
        <f>SUM(Table1[[#This Row],[Expenses - Revenue Generation]:[Expenses - Admin]])</f>
        <v>251376</v>
      </c>
      <c r="AE88" s="71">
        <v>138879</v>
      </c>
      <c r="AF88" s="71">
        <v>35647</v>
      </c>
      <c r="AG88" s="71">
        <v>76850</v>
      </c>
      <c r="AH88" s="72">
        <f>Table1[[#This Row],[Total FTE - Editorial]]+Table1[[#This Row],[Total FTE - Non-Editorial]]</f>
        <v>8.3000000000000007</v>
      </c>
      <c r="AI88" s="72">
        <f>Table1[[#This Row],[FTE Salaried - Editorial]]+Table1[[#This Row],[FTE Contractors - Editorial]]</f>
        <v>5</v>
      </c>
      <c r="AJ88" s="56">
        <v>5</v>
      </c>
      <c r="AK88" s="56">
        <v>0</v>
      </c>
      <c r="AL88" s="57">
        <f>Table1[[#This Row],[FTE Salaried - Non-Editorial]]+Table1[[#This Row],[FTE Contractors - Non-Editorial]]</f>
        <v>3.3</v>
      </c>
      <c r="AM88" s="56">
        <v>3.3</v>
      </c>
      <c r="AN88" s="56">
        <v>0</v>
      </c>
      <c r="AO88" s="83" t="s">
        <v>342</v>
      </c>
      <c r="AP88" s="83" t="s">
        <v>406</v>
      </c>
      <c r="AQ88" s="73">
        <v>20000</v>
      </c>
      <c r="AR88" s="73">
        <v>5200</v>
      </c>
      <c r="AS88" s="73">
        <v>0</v>
      </c>
      <c r="AT88" s="73">
        <v>0</v>
      </c>
      <c r="AU88" s="73">
        <v>0</v>
      </c>
      <c r="AV88" s="83" t="s">
        <v>406</v>
      </c>
      <c r="BC88" s="54"/>
      <c r="BD88" s="54"/>
      <c r="BE88" s="54"/>
      <c r="BF88" s="54"/>
      <c r="BG88" s="54"/>
      <c r="BI88" s="54"/>
      <c r="BK88" s="54"/>
      <c r="BL88" s="54"/>
      <c r="BM88" s="54"/>
      <c r="BN88" s="54"/>
      <c r="BO88" s="54"/>
      <c r="BP88" s="54"/>
      <c r="BS88" s="54"/>
      <c r="BT88" s="54"/>
      <c r="BU88" s="54"/>
      <c r="BV88" s="54"/>
      <c r="BW88" s="54"/>
    </row>
    <row r="89" spans="1:75" x14ac:dyDescent="0.25">
      <c r="A89" s="83" t="s">
        <v>564</v>
      </c>
      <c r="B89" s="83"/>
      <c r="C89" s="83" t="s">
        <v>83</v>
      </c>
      <c r="D89" s="83" t="s">
        <v>77</v>
      </c>
      <c r="E89" s="54" t="str">
        <f>_xlfn.CONCAT(Table1[[#This Row],[Geographic Scope]],": ",Table1[[#This Row],[Sub-Type/Focus]])</f>
        <v>State: General</v>
      </c>
      <c r="F89" s="55">
        <f>Table1[[#This Row],[Total Contributed Income]]+Table1[[#This Row],[Total Earned Income]]</f>
        <v>427539.51</v>
      </c>
      <c r="G89" s="84">
        <f>IFERROR((Table1[[#This Row],[Cont. Income - Foundation]]+Table1[[#This Row],[Cont. Income - Membership]]+Table1[[#This Row],[Cont. Income - Small Donors]]+Table1[[#This Row],[Cont. Income - Med. Donors]]+Table1[[#This Row],[Cont. Income - Major Donors]]+Table1[[#This Row],[Cont. Income - Other]]),0)</f>
        <v>421766.54000000004</v>
      </c>
      <c r="H89" s="84">
        <f>IFERROR((Table1[[#This Row],[Earned Income - Advertising]]+Table1[[#This Row],[Earned Income - Sponsorships/Underwriting]]+Table1[[#This Row],[Earned Income - Events]]+Table1[[#This Row],[Earned Income - Subscriptions]]+Table1[[#This Row],[Earned Income - Syndication]]+Table1[[#This Row],[Earned Income - Other TOTAL]]),0)</f>
        <v>5772.97</v>
      </c>
      <c r="I89" s="71">
        <v>159272.32000000001</v>
      </c>
      <c r="J89" s="71">
        <v>0</v>
      </c>
      <c r="K89" s="71">
        <v>99462.65</v>
      </c>
      <c r="L89" s="71">
        <v>88146.57</v>
      </c>
      <c r="M89" s="71">
        <v>74750</v>
      </c>
      <c r="N89" s="71">
        <v>135</v>
      </c>
      <c r="O89" s="76" t="s">
        <v>565</v>
      </c>
      <c r="P89" s="71">
        <v>5760</v>
      </c>
      <c r="Q89" s="71">
        <v>0</v>
      </c>
      <c r="R89" s="71">
        <v>0</v>
      </c>
      <c r="S89" s="71">
        <v>0</v>
      </c>
      <c r="T89" s="71">
        <v>0</v>
      </c>
      <c r="U89" s="85">
        <f>IFERROR(Table1[[#This Row],[Earned Income - Training Fees]]+Table1[[#This Row],[Earned Income - Fees]]+Table1[[#This Row],[Earned Income - Investments]]+Table1[[#This Row],[Earned Income - Other]],0)</f>
        <v>12.97</v>
      </c>
      <c r="V89" s="71">
        <v>0</v>
      </c>
      <c r="W89" s="71">
        <v>0</v>
      </c>
      <c r="X89" s="83" t="s">
        <v>406</v>
      </c>
      <c r="Y89" s="71">
        <v>12.97</v>
      </c>
      <c r="Z89" s="71">
        <v>0</v>
      </c>
      <c r="AA89" s="83" t="s">
        <v>406</v>
      </c>
      <c r="AB89" s="85">
        <f t="shared" si="2"/>
        <v>417299.39</v>
      </c>
      <c r="AC89" s="71">
        <v>262585.14</v>
      </c>
      <c r="AD89" s="85">
        <f>SUM(Table1[[#This Row],[Expenses - Revenue Generation]:[Expenses - Admin]])</f>
        <v>154714.25</v>
      </c>
      <c r="AE89" s="71">
        <v>60699.7</v>
      </c>
      <c r="AF89" s="71">
        <v>8194.68</v>
      </c>
      <c r="AG89" s="71">
        <v>85819.87</v>
      </c>
      <c r="AH89" s="72">
        <f>Table1[[#This Row],[Total FTE - Editorial]]+Table1[[#This Row],[Total FTE - Non-Editorial]]</f>
        <v>7</v>
      </c>
      <c r="AI89" s="72">
        <f>Table1[[#This Row],[FTE Salaried - Editorial]]+Table1[[#This Row],[FTE Contractors - Editorial]]</f>
        <v>4.5</v>
      </c>
      <c r="AJ89" s="56">
        <v>3.5</v>
      </c>
      <c r="AK89" s="56">
        <v>1</v>
      </c>
      <c r="AL89" s="57">
        <f>Table1[[#This Row],[FTE Salaried - Non-Editorial]]+Table1[[#This Row],[FTE Contractors - Non-Editorial]]</f>
        <v>2.5</v>
      </c>
      <c r="AM89" s="56">
        <v>1.5</v>
      </c>
      <c r="AN89" s="56">
        <v>1</v>
      </c>
      <c r="AO89" s="83" t="s">
        <v>342</v>
      </c>
      <c r="AP89" s="83" t="s">
        <v>406</v>
      </c>
      <c r="AQ89" s="73">
        <v>40727</v>
      </c>
      <c r="AR89" s="73">
        <v>6091</v>
      </c>
      <c r="AS89" s="73">
        <v>0</v>
      </c>
      <c r="AT89" s="73">
        <v>0</v>
      </c>
      <c r="AU89" s="73">
        <v>0</v>
      </c>
      <c r="AV89" s="83" t="s">
        <v>406</v>
      </c>
      <c r="BC89" s="54"/>
      <c r="BD89" s="54"/>
      <c r="BE89" s="54"/>
      <c r="BF89" s="54"/>
      <c r="BG89" s="54"/>
      <c r="BI89" s="54"/>
      <c r="BK89" s="54"/>
      <c r="BL89" s="54"/>
      <c r="BM89" s="54"/>
      <c r="BN89" s="54"/>
      <c r="BO89" s="54"/>
      <c r="BP89" s="54"/>
      <c r="BS89" s="54"/>
      <c r="BT89" s="54"/>
      <c r="BU89" s="54"/>
      <c r="BV89" s="54"/>
      <c r="BW89" s="54"/>
    </row>
    <row r="90" spans="1:75" x14ac:dyDescent="0.25">
      <c r="A90" s="83" t="s">
        <v>566</v>
      </c>
      <c r="B90" s="83"/>
      <c r="C90" s="83" t="s">
        <v>6</v>
      </c>
      <c r="D90" s="83" t="s">
        <v>77</v>
      </c>
      <c r="E90" s="54" t="str">
        <f>_xlfn.CONCAT(Table1[[#This Row],[Geographic Scope]],": ",Table1[[#This Row],[Sub-Type/Focus]])</f>
        <v>National: General</v>
      </c>
      <c r="F90" s="55">
        <f>Table1[[#This Row],[Total Contributed Income]]+Table1[[#This Row],[Total Earned Income]]</f>
        <v>5702196</v>
      </c>
      <c r="G90" s="84">
        <f>IFERROR((Table1[[#This Row],[Cont. Income - Foundation]]+Table1[[#This Row],[Cont. Income - Membership]]+Table1[[#This Row],[Cont. Income - Small Donors]]+Table1[[#This Row],[Cont. Income - Med. Donors]]+Table1[[#This Row],[Cont. Income - Major Donors]]+Table1[[#This Row],[Cont. Income - Other]]),0)</f>
        <v>5672648</v>
      </c>
      <c r="H90" s="84">
        <f>IFERROR((Table1[[#This Row],[Earned Income - Advertising]]+Table1[[#This Row],[Earned Income - Sponsorships/Underwriting]]+Table1[[#This Row],[Earned Income - Events]]+Table1[[#This Row],[Earned Income - Subscriptions]]+Table1[[#This Row],[Earned Income - Syndication]]+Table1[[#This Row],[Earned Income - Other TOTAL]]),0)</f>
        <v>29548</v>
      </c>
      <c r="I90" s="71">
        <v>4184137</v>
      </c>
      <c r="J90" s="71">
        <v>0</v>
      </c>
      <c r="K90" s="71">
        <v>18662</v>
      </c>
      <c r="L90" s="71">
        <v>64195</v>
      </c>
      <c r="M90" s="71">
        <v>89717</v>
      </c>
      <c r="N90" s="71">
        <v>1315937</v>
      </c>
      <c r="O90" s="76" t="s">
        <v>567</v>
      </c>
      <c r="P90" s="71">
        <v>0</v>
      </c>
      <c r="Q90" s="71">
        <v>361</v>
      </c>
      <c r="R90" s="71">
        <v>151</v>
      </c>
      <c r="S90" s="71">
        <v>0</v>
      </c>
      <c r="T90" s="71">
        <v>1077</v>
      </c>
      <c r="U90" s="85">
        <f>IFERROR(Table1[[#This Row],[Earned Income - Training Fees]]+Table1[[#This Row],[Earned Income - Fees]]+Table1[[#This Row],[Earned Income - Investments]]+Table1[[#This Row],[Earned Income - Other]],0)</f>
        <v>27959</v>
      </c>
      <c r="V90" s="71">
        <v>0</v>
      </c>
      <c r="W90" s="71">
        <v>0</v>
      </c>
      <c r="X90" s="83" t="s">
        <v>406</v>
      </c>
      <c r="Y90" s="71">
        <v>1366</v>
      </c>
      <c r="Z90" s="71">
        <v>26593</v>
      </c>
      <c r="AA90" s="83" t="s">
        <v>568</v>
      </c>
      <c r="AB90" s="85">
        <f t="shared" si="2"/>
        <v>5958336</v>
      </c>
      <c r="AC90" s="71">
        <v>3757313</v>
      </c>
      <c r="AD90" s="85">
        <f>SUM(Table1[[#This Row],[Expenses - Revenue Generation]:[Expenses - Admin]])</f>
        <v>2201023</v>
      </c>
      <c r="AE90" s="71">
        <v>344544</v>
      </c>
      <c r="AF90" s="71">
        <v>679560</v>
      </c>
      <c r="AG90" s="71">
        <v>1176919</v>
      </c>
      <c r="AH90" s="72">
        <f>Table1[[#This Row],[Total FTE - Editorial]]+Table1[[#This Row],[Total FTE - Non-Editorial]]</f>
        <v>41</v>
      </c>
      <c r="AI90" s="72">
        <f>Table1[[#This Row],[FTE Salaried - Editorial]]+Table1[[#This Row],[FTE Contractors - Editorial]]</f>
        <v>21.5</v>
      </c>
      <c r="AJ90" s="56">
        <v>21.5</v>
      </c>
      <c r="AK90" s="56">
        <v>0</v>
      </c>
      <c r="AL90" s="57">
        <f>Table1[[#This Row],[FTE Salaried - Non-Editorial]]+Table1[[#This Row],[FTE Contractors - Non-Editorial]]</f>
        <v>19.5</v>
      </c>
      <c r="AM90" s="56">
        <v>18.5</v>
      </c>
      <c r="AN90" s="56">
        <v>1</v>
      </c>
      <c r="AO90" s="83" t="s">
        <v>342</v>
      </c>
      <c r="AP90" s="83" t="s">
        <v>406</v>
      </c>
      <c r="AQ90" s="73">
        <v>51050</v>
      </c>
      <c r="AR90" s="73">
        <v>4741</v>
      </c>
      <c r="AS90" s="73">
        <v>0</v>
      </c>
      <c r="AT90" s="73">
        <v>0</v>
      </c>
      <c r="AU90" s="73">
        <v>0</v>
      </c>
      <c r="AV90" s="83" t="s">
        <v>406</v>
      </c>
      <c r="BC90" s="54"/>
      <c r="BD90" s="54"/>
      <c r="BE90" s="54"/>
      <c r="BF90" s="54"/>
      <c r="BG90" s="54"/>
      <c r="BI90" s="54"/>
      <c r="BK90" s="54"/>
      <c r="BL90" s="54"/>
      <c r="BM90" s="54"/>
      <c r="BN90" s="54"/>
      <c r="BO90" s="54"/>
      <c r="BP90" s="54"/>
      <c r="BS90" s="54"/>
      <c r="BT90" s="54"/>
      <c r="BU90" s="54"/>
      <c r="BV90" s="54"/>
      <c r="BW90" s="54"/>
    </row>
    <row r="91" spans="1:75" x14ac:dyDescent="0.25">
      <c r="A91" s="83" t="s">
        <v>569</v>
      </c>
      <c r="B91" s="83"/>
      <c r="C91" s="83" t="s">
        <v>7</v>
      </c>
      <c r="D91" s="83" t="s">
        <v>78</v>
      </c>
      <c r="E91" s="54" t="str">
        <f>_xlfn.CONCAT(Table1[[#This Row],[Geographic Scope]],": ",Table1[[#This Row],[Sub-Type/Focus]])</f>
        <v>Local: Multiple Related Topics</v>
      </c>
      <c r="F91" s="55">
        <f>Table1[[#This Row],[Total Contributed Income]]+Table1[[#This Row],[Total Earned Income]]</f>
        <v>92282</v>
      </c>
      <c r="G91" s="84">
        <f>IFERROR((Table1[[#This Row],[Cont. Income - Foundation]]+Table1[[#This Row],[Cont. Income - Membership]]+Table1[[#This Row],[Cont. Income - Small Donors]]+Table1[[#This Row],[Cont. Income - Med. Donors]]+Table1[[#This Row],[Cont. Income - Major Donors]]+Table1[[#This Row],[Cont. Income - Other]]),0)</f>
        <v>92282</v>
      </c>
      <c r="H91" s="84">
        <f>IFERROR((Table1[[#This Row],[Earned Income - Advertising]]+Table1[[#This Row],[Earned Income - Sponsorships/Underwriting]]+Table1[[#This Row],[Earned Income - Events]]+Table1[[#This Row],[Earned Income - Subscriptions]]+Table1[[#This Row],[Earned Income - Syndication]]+Table1[[#This Row],[Earned Income - Other TOTAL]]),0)</f>
        <v>0</v>
      </c>
      <c r="I91" s="71">
        <v>6000</v>
      </c>
      <c r="J91" s="71">
        <v>0</v>
      </c>
      <c r="K91" s="71">
        <v>12955.5</v>
      </c>
      <c r="L91" s="71">
        <v>27364</v>
      </c>
      <c r="M91" s="71">
        <v>45000</v>
      </c>
      <c r="N91" s="71">
        <v>962.5</v>
      </c>
      <c r="O91" s="76"/>
      <c r="P91" s="71">
        <v>0</v>
      </c>
      <c r="Q91" s="71">
        <v>0</v>
      </c>
      <c r="R91" s="71">
        <v>0</v>
      </c>
      <c r="S91" s="71">
        <v>0</v>
      </c>
      <c r="T91" s="71">
        <v>0</v>
      </c>
      <c r="U91" s="85">
        <f>IFERROR(Table1[[#This Row],[Earned Income - Training Fees]]+Table1[[#This Row],[Earned Income - Fees]]+Table1[[#This Row],[Earned Income - Investments]]+Table1[[#This Row],[Earned Income - Other]],0)</f>
        <v>0</v>
      </c>
      <c r="V91" s="71">
        <v>0</v>
      </c>
      <c r="W91" s="71">
        <v>0</v>
      </c>
      <c r="X91" s="83" t="s">
        <v>406</v>
      </c>
      <c r="Y91" s="71">
        <v>0</v>
      </c>
      <c r="Z91" s="71">
        <v>0</v>
      </c>
      <c r="AA91" s="83" t="s">
        <v>406</v>
      </c>
      <c r="AB91" s="85">
        <f t="shared" si="2"/>
        <v>64936</v>
      </c>
      <c r="AC91" s="71">
        <v>38010</v>
      </c>
      <c r="AD91" s="85">
        <f>SUM(Table1[[#This Row],[Expenses - Revenue Generation]:[Expenses - Admin]])</f>
        <v>26926</v>
      </c>
      <c r="AE91" s="71">
        <v>1192</v>
      </c>
      <c r="AF91" s="71">
        <v>1357</v>
      </c>
      <c r="AG91" s="71">
        <v>24377</v>
      </c>
      <c r="AH91" s="72">
        <f>Table1[[#This Row],[Total FTE - Editorial]]+Table1[[#This Row],[Total FTE - Non-Editorial]]</f>
        <v>0</v>
      </c>
      <c r="AI91" s="72">
        <f>Table1[[#This Row],[FTE Salaried - Editorial]]+Table1[[#This Row],[FTE Contractors - Editorial]]</f>
        <v>0</v>
      </c>
      <c r="AJ91" s="56">
        <v>0</v>
      </c>
      <c r="AK91" s="56">
        <v>0</v>
      </c>
      <c r="AL91" s="57">
        <f>Table1[[#This Row],[FTE Salaried - Non-Editorial]]+Table1[[#This Row],[FTE Contractors - Non-Editorial]]</f>
        <v>0</v>
      </c>
      <c r="AM91" s="56">
        <v>0</v>
      </c>
      <c r="AN91" s="56">
        <v>0</v>
      </c>
      <c r="AO91" s="83" t="s">
        <v>394</v>
      </c>
      <c r="AP91" s="83" t="s">
        <v>406</v>
      </c>
      <c r="AQ91" s="73">
        <v>34632</v>
      </c>
      <c r="AR91" s="73">
        <v>850</v>
      </c>
      <c r="AS91" s="73">
        <v>2000</v>
      </c>
      <c r="AT91" s="73">
        <v>51</v>
      </c>
      <c r="AU91" s="73">
        <v>0</v>
      </c>
      <c r="AV91" s="83" t="s">
        <v>406</v>
      </c>
      <c r="BC91" s="54"/>
      <c r="BD91" s="54"/>
      <c r="BE91" s="54"/>
      <c r="BF91" s="54"/>
      <c r="BG91" s="54"/>
      <c r="BI91" s="54"/>
      <c r="BK91" s="54"/>
      <c r="BL91" s="54"/>
      <c r="BM91" s="54"/>
      <c r="BN91" s="54"/>
      <c r="BO91" s="54"/>
      <c r="BP91" s="54"/>
      <c r="BS91" s="54"/>
      <c r="BT91" s="54"/>
      <c r="BU91" s="54"/>
      <c r="BV91" s="54"/>
      <c r="BW91" s="54"/>
    </row>
    <row r="92" spans="1:75" x14ac:dyDescent="0.25">
      <c r="A92" s="83" t="s">
        <v>570</v>
      </c>
      <c r="B92" s="83"/>
      <c r="C92" s="83" t="s">
        <v>6</v>
      </c>
      <c r="D92" s="83" t="s">
        <v>79</v>
      </c>
      <c r="E92" s="54" t="str">
        <f>_xlfn.CONCAT(Table1[[#This Row],[Geographic Scope]],": ",Table1[[#This Row],[Sub-Type/Focus]])</f>
        <v>National: Single-Topic</v>
      </c>
      <c r="F92" s="55">
        <f>Table1[[#This Row],[Total Contributed Income]]+Table1[[#This Row],[Total Earned Income]]</f>
        <v>16581</v>
      </c>
      <c r="G92" s="84">
        <f>IFERROR((Table1[[#This Row],[Cont. Income - Foundation]]+Table1[[#This Row],[Cont. Income - Membership]]+Table1[[#This Row],[Cont. Income - Small Donors]]+Table1[[#This Row],[Cont. Income - Med. Donors]]+Table1[[#This Row],[Cont. Income - Major Donors]]+Table1[[#This Row],[Cont. Income - Other]]),0)</f>
        <v>10979</v>
      </c>
      <c r="H92" s="84">
        <f>IFERROR((Table1[[#This Row],[Earned Income - Advertising]]+Table1[[#This Row],[Earned Income - Sponsorships/Underwriting]]+Table1[[#This Row],[Earned Income - Events]]+Table1[[#This Row],[Earned Income - Subscriptions]]+Table1[[#This Row],[Earned Income - Syndication]]+Table1[[#This Row],[Earned Income - Other TOTAL]]),0)</f>
        <v>5602</v>
      </c>
      <c r="I92" s="71">
        <v>0</v>
      </c>
      <c r="J92" s="71">
        <v>0</v>
      </c>
      <c r="K92" s="71">
        <v>3979</v>
      </c>
      <c r="L92" s="71">
        <v>7000</v>
      </c>
      <c r="M92" s="71">
        <v>0</v>
      </c>
      <c r="N92" s="71">
        <v>0</v>
      </c>
      <c r="O92" s="76" t="s">
        <v>406</v>
      </c>
      <c r="P92" s="71">
        <v>0</v>
      </c>
      <c r="Q92" s="71">
        <v>5500</v>
      </c>
      <c r="R92" s="71">
        <v>0</v>
      </c>
      <c r="S92" s="71">
        <v>0</v>
      </c>
      <c r="T92" s="71">
        <v>91</v>
      </c>
      <c r="U92" s="85">
        <f>IFERROR(Table1[[#This Row],[Earned Income - Training Fees]]+Table1[[#This Row],[Earned Income - Fees]]+Table1[[#This Row],[Earned Income - Investments]]+Table1[[#This Row],[Earned Income - Other]],0)</f>
        <v>11</v>
      </c>
      <c r="V92" s="71">
        <v>0</v>
      </c>
      <c r="W92" s="71">
        <v>0</v>
      </c>
      <c r="X92" s="83" t="s">
        <v>406</v>
      </c>
      <c r="Y92" s="71">
        <v>0</v>
      </c>
      <c r="Z92" s="71">
        <v>11</v>
      </c>
      <c r="AA92" s="83" t="s">
        <v>571</v>
      </c>
      <c r="AB92" s="85">
        <f t="shared" si="2"/>
        <v>40000</v>
      </c>
      <c r="AC92" s="71">
        <v>40000</v>
      </c>
      <c r="AD92" s="85">
        <f>SUM(Table1[[#This Row],[Expenses - Revenue Generation]:[Expenses - Admin]])</f>
        <v>0</v>
      </c>
      <c r="AE92" s="71">
        <v>0</v>
      </c>
      <c r="AF92" s="71">
        <v>0</v>
      </c>
      <c r="AG92" s="71">
        <v>0</v>
      </c>
      <c r="AH92" s="72">
        <f>Table1[[#This Row],[Total FTE - Editorial]]+Table1[[#This Row],[Total FTE - Non-Editorial]]</f>
        <v>2.2000000000000002</v>
      </c>
      <c r="AI92" s="72">
        <f>Table1[[#This Row],[FTE Salaried - Editorial]]+Table1[[#This Row],[FTE Contractors - Editorial]]</f>
        <v>2</v>
      </c>
      <c r="AJ92" s="56">
        <v>2</v>
      </c>
      <c r="AK92" s="56">
        <v>0</v>
      </c>
      <c r="AL92" s="57">
        <f>Table1[[#This Row],[FTE Salaried - Non-Editorial]]+Table1[[#This Row],[FTE Contractors - Non-Editorial]]</f>
        <v>0.2</v>
      </c>
      <c r="AM92" s="56">
        <v>0</v>
      </c>
      <c r="AN92" s="56">
        <v>0.2</v>
      </c>
      <c r="AO92" s="83" t="s">
        <v>343</v>
      </c>
      <c r="AP92" s="83" t="s">
        <v>572</v>
      </c>
      <c r="AQ92" s="73">
        <v>1500</v>
      </c>
      <c r="AR92" s="73">
        <v>550</v>
      </c>
      <c r="AS92" s="73">
        <v>0</v>
      </c>
      <c r="AT92" s="73">
        <v>0</v>
      </c>
      <c r="AU92" s="73">
        <v>12500</v>
      </c>
      <c r="AV92" s="83" t="s">
        <v>380</v>
      </c>
      <c r="BC92" s="54"/>
      <c r="BD92" s="54"/>
      <c r="BE92" s="54"/>
      <c r="BF92" s="54"/>
      <c r="BG92" s="54"/>
      <c r="BI92" s="54"/>
      <c r="BK92" s="54"/>
      <c r="BL92" s="54"/>
      <c r="BM92" s="54"/>
      <c r="BN92" s="54"/>
      <c r="BO92" s="54"/>
      <c r="BP92" s="54"/>
      <c r="BS92" s="54"/>
      <c r="BT92" s="54"/>
      <c r="BU92" s="54"/>
      <c r="BV92" s="54"/>
      <c r="BW92" s="54"/>
    </row>
    <row r="93" spans="1:75" x14ac:dyDescent="0.25">
      <c r="A93" s="80" t="s">
        <v>573</v>
      </c>
      <c r="B93" s="80"/>
      <c r="C93" s="80" t="s">
        <v>378</v>
      </c>
      <c r="D93" s="80" t="s">
        <v>79</v>
      </c>
      <c r="E93" s="57" t="str">
        <f>_xlfn.CONCAT(Table1[[#This Row],[Geographic Scope]],": ",Table1[[#This Row],[Sub-Type/Focus]])</f>
        <v>Regional: Single-Topic</v>
      </c>
      <c r="F93" s="68">
        <f>Table1[[#This Row],[Total Contributed Income]]+Table1[[#This Row],[Total Earned Income]]</f>
        <v>0</v>
      </c>
      <c r="G93" s="86">
        <f>IFERROR((Table1[[#This Row],[Cont. Income - Foundation]]+Table1[[#This Row],[Cont. Income - Membership]]+Table1[[#This Row],[Cont. Income - Small Donors]]+Table1[[#This Row],[Cont. Income - Med. Donors]]+Table1[[#This Row],[Cont. Income - Major Donors]]+Table1[[#This Row],[Cont. Income - Other]]),0)</f>
        <v>0</v>
      </c>
      <c r="H93" s="86">
        <f>IFERROR((Table1[[#This Row],[Earned Income - Advertising]]+Table1[[#This Row],[Earned Income - Sponsorships/Underwriting]]+Table1[[#This Row],[Earned Income - Events]]+Table1[[#This Row],[Earned Income - Subscriptions]]+Table1[[#This Row],[Earned Income - Syndication]]+Table1[[#This Row],[Earned Income - Other TOTAL]]),0)</f>
        <v>0</v>
      </c>
      <c r="I93" s="71" t="s">
        <v>406</v>
      </c>
      <c r="J93" s="71" t="s">
        <v>406</v>
      </c>
      <c r="K93" s="71" t="s">
        <v>406</v>
      </c>
      <c r="L93" s="71" t="s">
        <v>406</v>
      </c>
      <c r="M93" s="71" t="s">
        <v>406</v>
      </c>
      <c r="N93" s="71" t="s">
        <v>406</v>
      </c>
      <c r="O93" s="76" t="s">
        <v>406</v>
      </c>
      <c r="P93" s="71" t="s">
        <v>406</v>
      </c>
      <c r="Q93" s="71" t="s">
        <v>406</v>
      </c>
      <c r="R93" s="71" t="s">
        <v>406</v>
      </c>
      <c r="S93" s="71" t="s">
        <v>406</v>
      </c>
      <c r="T93" s="71" t="s">
        <v>406</v>
      </c>
      <c r="U93" s="82">
        <f>IFERROR(Table1[[#This Row],[Earned Income - Training Fees]]+Table1[[#This Row],[Earned Income - Fees]]+Table1[[#This Row],[Earned Income - Investments]]+Table1[[#This Row],[Earned Income - Other]],0)</f>
        <v>0</v>
      </c>
      <c r="V93" s="71" t="s">
        <v>406</v>
      </c>
      <c r="W93" s="71" t="s">
        <v>406</v>
      </c>
      <c r="X93" s="80" t="s">
        <v>406</v>
      </c>
      <c r="Y93" s="71" t="s">
        <v>406</v>
      </c>
      <c r="Z93" s="71" t="s">
        <v>406</v>
      </c>
      <c r="AA93" s="80" t="s">
        <v>406</v>
      </c>
      <c r="AB93" s="82">
        <f t="shared" si="2"/>
        <v>0</v>
      </c>
      <c r="AC93" s="71" t="s">
        <v>406</v>
      </c>
      <c r="AD93" s="82">
        <f>SUM(Table1[[#This Row],[Expenses - Revenue Generation]:[Expenses - Admin]])</f>
        <v>0</v>
      </c>
      <c r="AE93" s="71" t="s">
        <v>406</v>
      </c>
      <c r="AF93" s="71" t="s">
        <v>406</v>
      </c>
      <c r="AG93" s="71" t="s">
        <v>406</v>
      </c>
      <c r="AH93" s="72">
        <f>Table1[[#This Row],[Total FTE - Editorial]]+Table1[[#This Row],[Total FTE - Non-Editorial]]</f>
        <v>1.5</v>
      </c>
      <c r="AI93" s="72">
        <f>Table1[[#This Row],[FTE Salaried - Editorial]]+Table1[[#This Row],[FTE Contractors - Editorial]]</f>
        <v>1</v>
      </c>
      <c r="AJ93" s="56">
        <v>1</v>
      </c>
      <c r="AK93" s="56">
        <v>0</v>
      </c>
      <c r="AL93" s="57">
        <f>Table1[[#This Row],[FTE Salaried - Non-Editorial]]+Table1[[#This Row],[FTE Contractors - Non-Editorial]]</f>
        <v>0.5</v>
      </c>
      <c r="AM93" s="56">
        <v>0</v>
      </c>
      <c r="AN93" s="56">
        <v>0.5</v>
      </c>
      <c r="AO93" s="80"/>
      <c r="AP93" s="80" t="s">
        <v>406</v>
      </c>
      <c r="AQ93" s="73" t="s">
        <v>406</v>
      </c>
      <c r="AR93" s="73" t="s">
        <v>406</v>
      </c>
      <c r="AS93" s="73" t="s">
        <v>406</v>
      </c>
      <c r="AT93" s="73" t="s">
        <v>406</v>
      </c>
      <c r="AU93" s="73" t="s">
        <v>406</v>
      </c>
      <c r="AV93" s="80" t="s">
        <v>406</v>
      </c>
      <c r="BC93" s="54"/>
      <c r="BD93" s="54"/>
      <c r="BE93" s="54"/>
      <c r="BF93" s="54"/>
      <c r="BG93" s="54"/>
      <c r="BI93" s="54"/>
      <c r="BK93" s="54"/>
      <c r="BL93" s="54"/>
      <c r="BM93" s="54"/>
      <c r="BN93" s="54"/>
      <c r="BO93" s="54"/>
      <c r="BP93" s="54"/>
      <c r="BS93" s="54"/>
      <c r="BT93" s="54"/>
      <c r="BU93" s="54"/>
      <c r="BV93" s="54"/>
      <c r="BW93" s="54"/>
    </row>
    <row r="94" spans="1:75" x14ac:dyDescent="0.25">
      <c r="A94" s="83" t="s">
        <v>574</v>
      </c>
      <c r="B94" s="83"/>
      <c r="C94" s="83" t="s">
        <v>83</v>
      </c>
      <c r="D94" s="80" t="s">
        <v>78</v>
      </c>
      <c r="E94" s="54" t="str">
        <f>_xlfn.CONCAT(Table1[[#This Row],[Geographic Scope]],": ",Table1[[#This Row],[Sub-Type/Focus]])</f>
        <v>State: Multiple Related Topics</v>
      </c>
      <c r="F94" s="55">
        <f>Table1[[#This Row],[Total Contributed Income]]+Table1[[#This Row],[Total Earned Income]]</f>
        <v>138000</v>
      </c>
      <c r="G94" s="84">
        <f>IFERROR((Table1[[#This Row],[Cont. Income - Foundation]]+Table1[[#This Row],[Cont. Income - Membership]]+Table1[[#This Row],[Cont. Income - Small Donors]]+Table1[[#This Row],[Cont. Income - Med. Donors]]+Table1[[#This Row],[Cont. Income - Major Donors]]+Table1[[#This Row],[Cont. Income - Other]]),0)</f>
        <v>135000</v>
      </c>
      <c r="H94" s="84">
        <f>IFERROR((Table1[[#This Row],[Earned Income - Advertising]]+Table1[[#This Row],[Earned Income - Sponsorships/Underwriting]]+Table1[[#This Row],[Earned Income - Events]]+Table1[[#This Row],[Earned Income - Subscriptions]]+Table1[[#This Row],[Earned Income - Syndication]]+Table1[[#This Row],[Earned Income - Other TOTAL]]),0)</f>
        <v>3000</v>
      </c>
      <c r="I94" s="71">
        <v>135000</v>
      </c>
      <c r="J94" s="71">
        <v>0</v>
      </c>
      <c r="K94" s="71">
        <v>0</v>
      </c>
      <c r="L94" s="71">
        <v>0</v>
      </c>
      <c r="M94" s="71">
        <v>0</v>
      </c>
      <c r="N94" s="71">
        <v>0</v>
      </c>
      <c r="O94" s="76" t="s">
        <v>406</v>
      </c>
      <c r="P94" s="71">
        <v>0</v>
      </c>
      <c r="Q94" s="71">
        <v>0</v>
      </c>
      <c r="R94" s="71">
        <v>0</v>
      </c>
      <c r="S94" s="71">
        <v>0</v>
      </c>
      <c r="T94" s="71">
        <v>0</v>
      </c>
      <c r="U94" s="85">
        <f>IFERROR(Table1[[#This Row],[Earned Income - Training Fees]]+Table1[[#This Row],[Earned Income - Fees]]+Table1[[#This Row],[Earned Income - Investments]]+Table1[[#This Row],[Earned Income - Other]],0)</f>
        <v>3000</v>
      </c>
      <c r="V94" s="71">
        <v>3000</v>
      </c>
      <c r="W94" s="71">
        <v>0</v>
      </c>
      <c r="X94" s="83" t="s">
        <v>406</v>
      </c>
      <c r="Y94" s="71">
        <v>0</v>
      </c>
      <c r="Z94" s="71">
        <v>0</v>
      </c>
      <c r="AA94" s="83" t="s">
        <v>406</v>
      </c>
      <c r="AB94" s="85">
        <f t="shared" si="2"/>
        <v>130000</v>
      </c>
      <c r="AC94" s="71">
        <v>80000</v>
      </c>
      <c r="AD94" s="85">
        <f>SUM(Table1[[#This Row],[Expenses - Revenue Generation]:[Expenses - Admin]])</f>
        <v>50000</v>
      </c>
      <c r="AE94" s="71">
        <v>0</v>
      </c>
      <c r="AF94" s="71">
        <v>10000</v>
      </c>
      <c r="AG94" s="71">
        <v>40000</v>
      </c>
      <c r="AH94" s="72">
        <f>Table1[[#This Row],[Total FTE - Editorial]]+Table1[[#This Row],[Total FTE - Non-Editorial]]</f>
        <v>1</v>
      </c>
      <c r="AI94" s="72">
        <f>Table1[[#This Row],[FTE Salaried - Editorial]]+Table1[[#This Row],[FTE Contractors - Editorial]]</f>
        <v>1</v>
      </c>
      <c r="AJ94" s="56">
        <v>1</v>
      </c>
      <c r="AK94" s="56">
        <v>0</v>
      </c>
      <c r="AL94" s="57">
        <f>Table1[[#This Row],[FTE Salaried - Non-Editorial]]+Table1[[#This Row],[FTE Contractors - Non-Editorial]]</f>
        <v>0</v>
      </c>
      <c r="AM94" s="56">
        <v>0</v>
      </c>
      <c r="AN94" s="56">
        <v>0</v>
      </c>
      <c r="AO94" s="83" t="s">
        <v>342</v>
      </c>
      <c r="AP94" s="83" t="s">
        <v>406</v>
      </c>
      <c r="AQ94" s="73">
        <v>10000</v>
      </c>
      <c r="AR94" s="73">
        <v>305</v>
      </c>
      <c r="AS94" s="73">
        <v>0</v>
      </c>
      <c r="AT94" s="73">
        <v>0</v>
      </c>
      <c r="AU94" s="73">
        <v>0</v>
      </c>
      <c r="AV94" s="83" t="s">
        <v>406</v>
      </c>
      <c r="BC94" s="54"/>
      <c r="BD94" s="54"/>
      <c r="BE94" s="54"/>
      <c r="BF94" s="54"/>
      <c r="BG94" s="54"/>
      <c r="BI94" s="54"/>
      <c r="BK94" s="54"/>
      <c r="BL94" s="54"/>
      <c r="BM94" s="54"/>
      <c r="BN94" s="54"/>
      <c r="BO94" s="54"/>
      <c r="BP94" s="54"/>
      <c r="BS94" s="54"/>
      <c r="BT94" s="54"/>
      <c r="BU94" s="54"/>
      <c r="BV94" s="54"/>
      <c r="BW94" s="54"/>
    </row>
    <row r="95" spans="1:75" x14ac:dyDescent="0.25">
      <c r="A95" s="83" t="s">
        <v>575</v>
      </c>
      <c r="B95" s="83"/>
      <c r="C95" s="83" t="s">
        <v>6</v>
      </c>
      <c r="D95" s="83" t="s">
        <v>79</v>
      </c>
      <c r="E95" s="54" t="str">
        <f>_xlfn.CONCAT(Table1[[#This Row],[Geographic Scope]],": ",Table1[[#This Row],[Sub-Type/Focus]])</f>
        <v>National: Single-Topic</v>
      </c>
      <c r="F95" s="55">
        <f>Table1[[#This Row],[Total Contributed Income]]+Table1[[#This Row],[Total Earned Income]]</f>
        <v>0</v>
      </c>
      <c r="G95" s="84">
        <f>IFERROR((Table1[[#This Row],[Cont. Income - Foundation]]+Table1[[#This Row],[Cont. Income - Membership]]+Table1[[#This Row],[Cont. Income - Small Donors]]+Table1[[#This Row],[Cont. Income - Med. Donors]]+Table1[[#This Row],[Cont. Income - Major Donors]]+Table1[[#This Row],[Cont. Income - Other]]),0)</f>
        <v>0</v>
      </c>
      <c r="H95" s="84">
        <f>IFERROR((Table1[[#This Row],[Earned Income - Advertising]]+Table1[[#This Row],[Earned Income - Sponsorships/Underwriting]]+Table1[[#This Row],[Earned Income - Events]]+Table1[[#This Row],[Earned Income - Subscriptions]]+Table1[[#This Row],[Earned Income - Syndication]]+Table1[[#This Row],[Earned Income - Other TOTAL]]),0)</f>
        <v>0</v>
      </c>
      <c r="I95" s="71" t="s">
        <v>406</v>
      </c>
      <c r="J95" s="71" t="s">
        <v>406</v>
      </c>
      <c r="K95" s="71" t="s">
        <v>406</v>
      </c>
      <c r="L95" s="71" t="s">
        <v>406</v>
      </c>
      <c r="M95" s="71" t="s">
        <v>406</v>
      </c>
      <c r="N95" s="71" t="s">
        <v>406</v>
      </c>
      <c r="O95" s="76" t="s">
        <v>406</v>
      </c>
      <c r="P95" s="71" t="s">
        <v>406</v>
      </c>
      <c r="Q95" s="71" t="s">
        <v>406</v>
      </c>
      <c r="R95" s="71" t="s">
        <v>406</v>
      </c>
      <c r="S95" s="71" t="s">
        <v>406</v>
      </c>
      <c r="T95" s="71" t="s">
        <v>406</v>
      </c>
      <c r="U95" s="85">
        <f>IFERROR(Table1[[#This Row],[Earned Income - Training Fees]]+Table1[[#This Row],[Earned Income - Fees]]+Table1[[#This Row],[Earned Income - Investments]]+Table1[[#This Row],[Earned Income - Other]],0)</f>
        <v>0</v>
      </c>
      <c r="V95" s="71" t="s">
        <v>406</v>
      </c>
      <c r="W95" s="71" t="s">
        <v>406</v>
      </c>
      <c r="X95" s="83" t="s">
        <v>406</v>
      </c>
      <c r="Y95" s="71" t="s">
        <v>406</v>
      </c>
      <c r="Z95" s="71" t="s">
        <v>406</v>
      </c>
      <c r="AA95" s="83" t="s">
        <v>406</v>
      </c>
      <c r="AB95" s="85">
        <f t="shared" si="2"/>
        <v>0</v>
      </c>
      <c r="AC95" s="71" t="s">
        <v>406</v>
      </c>
      <c r="AD95" s="85">
        <f>SUM(Table1[[#This Row],[Expenses - Revenue Generation]:[Expenses - Admin]])</f>
        <v>0</v>
      </c>
      <c r="AE95" s="71" t="s">
        <v>406</v>
      </c>
      <c r="AF95" s="71" t="s">
        <v>406</v>
      </c>
      <c r="AG95" s="71" t="s">
        <v>406</v>
      </c>
      <c r="AH95" s="72">
        <f>Table1[[#This Row],[Total FTE - Editorial]]+Table1[[#This Row],[Total FTE - Non-Editorial]]</f>
        <v>0</v>
      </c>
      <c r="AI95" s="72">
        <f>Table1[[#This Row],[FTE Salaried - Editorial]]+Table1[[#This Row],[FTE Contractors - Editorial]]</f>
        <v>0</v>
      </c>
      <c r="AJ95" s="56">
        <v>0</v>
      </c>
      <c r="AK95" s="56">
        <v>0</v>
      </c>
      <c r="AL95" s="57">
        <f>Table1[[#This Row],[FTE Salaried - Non-Editorial]]+Table1[[#This Row],[FTE Contractors - Non-Editorial]]</f>
        <v>0</v>
      </c>
      <c r="AM95" s="56">
        <v>0</v>
      </c>
      <c r="AN95" s="56">
        <v>0</v>
      </c>
      <c r="AO95" s="83" t="s">
        <v>342</v>
      </c>
      <c r="AP95" s="83" t="s">
        <v>406</v>
      </c>
      <c r="AQ95" s="73">
        <v>1500</v>
      </c>
      <c r="AR95" s="73">
        <v>5000</v>
      </c>
      <c r="AS95" s="73">
        <v>0</v>
      </c>
      <c r="AT95" s="73">
        <v>0</v>
      </c>
      <c r="AU95" s="73">
        <v>0</v>
      </c>
      <c r="AV95" s="83" t="s">
        <v>406</v>
      </c>
      <c r="BC95" s="54"/>
      <c r="BD95" s="54"/>
      <c r="BE95" s="54"/>
      <c r="BF95" s="54"/>
      <c r="BG95" s="54"/>
      <c r="BI95" s="54"/>
      <c r="BK95" s="54"/>
      <c r="BL95" s="54"/>
      <c r="BM95" s="54"/>
      <c r="BN95" s="54"/>
      <c r="BO95" s="54"/>
      <c r="BP95" s="54"/>
      <c r="BS95" s="54"/>
      <c r="BT95" s="54"/>
      <c r="BU95" s="54"/>
      <c r="BV95" s="54"/>
      <c r="BW95" s="54"/>
    </row>
    <row r="96" spans="1:75" x14ac:dyDescent="0.25">
      <c r="A96" s="83" t="s">
        <v>576</v>
      </c>
      <c r="B96" s="83"/>
      <c r="C96" s="83" t="s">
        <v>7</v>
      </c>
      <c r="D96" s="83" t="s">
        <v>77</v>
      </c>
      <c r="E96" s="54" t="str">
        <f>_xlfn.CONCAT(Table1[[#This Row],[Geographic Scope]],": ",Table1[[#This Row],[Sub-Type/Focus]])</f>
        <v>Local: General</v>
      </c>
      <c r="F96" s="55">
        <f>Table1[[#This Row],[Total Contributed Income]]+Table1[[#This Row],[Total Earned Income]]</f>
        <v>1227248</v>
      </c>
      <c r="G96" s="84">
        <f>IFERROR((Table1[[#This Row],[Cont. Income - Foundation]]+Table1[[#This Row],[Cont. Income - Membership]]+Table1[[#This Row],[Cont. Income - Small Donors]]+Table1[[#This Row],[Cont. Income - Med. Donors]]+Table1[[#This Row],[Cont. Income - Major Donors]]+Table1[[#This Row],[Cont. Income - Other]]),0)</f>
        <v>327280</v>
      </c>
      <c r="H96" s="84">
        <f>IFERROR((Table1[[#This Row],[Earned Income - Advertising]]+Table1[[#This Row],[Earned Income - Sponsorships/Underwriting]]+Table1[[#This Row],[Earned Income - Events]]+Table1[[#This Row],[Earned Income - Subscriptions]]+Table1[[#This Row],[Earned Income - Syndication]]+Table1[[#This Row],[Earned Income - Other TOTAL]]),0)</f>
        <v>899968</v>
      </c>
      <c r="I96" s="71">
        <v>100000</v>
      </c>
      <c r="J96" s="71">
        <v>227280</v>
      </c>
      <c r="K96" s="71">
        <v>0</v>
      </c>
      <c r="L96" s="71">
        <v>0</v>
      </c>
      <c r="M96" s="71">
        <v>0</v>
      </c>
      <c r="N96" s="71">
        <v>0</v>
      </c>
      <c r="O96" s="76" t="s">
        <v>406</v>
      </c>
      <c r="P96" s="71">
        <v>391968</v>
      </c>
      <c r="Q96" s="71">
        <v>500000</v>
      </c>
      <c r="R96" s="71">
        <v>8000</v>
      </c>
      <c r="S96" s="71">
        <v>0</v>
      </c>
      <c r="T96" s="71">
        <v>0</v>
      </c>
      <c r="U96" s="85">
        <f>IFERROR(Table1[[#This Row],[Earned Income - Training Fees]]+Table1[[#This Row],[Earned Income - Fees]]+Table1[[#This Row],[Earned Income - Investments]]+Table1[[#This Row],[Earned Income - Other]],0)</f>
        <v>0</v>
      </c>
      <c r="V96" s="71">
        <v>0</v>
      </c>
      <c r="W96" s="71">
        <v>0</v>
      </c>
      <c r="X96" s="83" t="s">
        <v>406</v>
      </c>
      <c r="Y96" s="71">
        <v>0</v>
      </c>
      <c r="Z96" s="71">
        <v>0</v>
      </c>
      <c r="AA96" s="83" t="s">
        <v>406</v>
      </c>
      <c r="AB96" s="85">
        <f t="shared" si="2"/>
        <v>937000</v>
      </c>
      <c r="AC96" s="71">
        <v>672000</v>
      </c>
      <c r="AD96" s="85">
        <f>SUM(Table1[[#This Row],[Expenses - Revenue Generation]:[Expenses - Admin]])</f>
        <v>265000</v>
      </c>
      <c r="AE96" s="71">
        <v>140000</v>
      </c>
      <c r="AF96" s="71">
        <v>0</v>
      </c>
      <c r="AG96" s="71">
        <v>125000</v>
      </c>
      <c r="AH96" s="72">
        <f>Table1[[#This Row],[Total FTE - Editorial]]+Table1[[#This Row],[Total FTE - Non-Editorial]]</f>
        <v>8</v>
      </c>
      <c r="AI96" s="72">
        <f>Table1[[#This Row],[FTE Salaried - Editorial]]+Table1[[#This Row],[FTE Contractors - Editorial]]</f>
        <v>6</v>
      </c>
      <c r="AJ96" s="56">
        <v>6</v>
      </c>
      <c r="AK96" s="56">
        <v>0</v>
      </c>
      <c r="AL96" s="57">
        <f>Table1[[#This Row],[FTE Salaried - Non-Editorial]]+Table1[[#This Row],[FTE Contractors - Non-Editorial]]</f>
        <v>2</v>
      </c>
      <c r="AM96" s="56">
        <v>2</v>
      </c>
      <c r="AN96" s="56">
        <v>0</v>
      </c>
      <c r="AO96" s="83" t="s">
        <v>342</v>
      </c>
      <c r="AP96" s="83" t="s">
        <v>406</v>
      </c>
      <c r="AQ96" s="73">
        <v>350000</v>
      </c>
      <c r="AR96" s="73">
        <v>21000</v>
      </c>
      <c r="AS96" s="73">
        <v>0</v>
      </c>
      <c r="AT96" s="73">
        <v>0</v>
      </c>
      <c r="AU96" s="73">
        <v>0</v>
      </c>
      <c r="AV96" s="83" t="s">
        <v>406</v>
      </c>
      <c r="BC96" s="54"/>
      <c r="BD96" s="54"/>
      <c r="BE96" s="54"/>
      <c r="BF96" s="54"/>
      <c r="BG96" s="54"/>
      <c r="BI96" s="54"/>
      <c r="BK96" s="54"/>
      <c r="BL96" s="54"/>
      <c r="BM96" s="54"/>
      <c r="BN96" s="54"/>
      <c r="BO96" s="54"/>
      <c r="BP96" s="54"/>
      <c r="BS96" s="54"/>
      <c r="BT96" s="54"/>
      <c r="BU96" s="54"/>
      <c r="BV96" s="54"/>
      <c r="BW96" s="54"/>
    </row>
    <row r="97" spans="1:75" x14ac:dyDescent="0.25">
      <c r="A97" s="83" t="s">
        <v>577</v>
      </c>
      <c r="B97" s="83"/>
      <c r="C97" s="83" t="s">
        <v>7</v>
      </c>
      <c r="D97" s="83" t="s">
        <v>77</v>
      </c>
      <c r="E97" s="54" t="str">
        <f>_xlfn.CONCAT(Table1[[#This Row],[Geographic Scope]],": ",Table1[[#This Row],[Sub-Type/Focus]])</f>
        <v>Local: General</v>
      </c>
      <c r="F97" s="55">
        <f>Table1[[#This Row],[Total Contributed Income]]+Table1[[#This Row],[Total Earned Income]]</f>
        <v>135817</v>
      </c>
      <c r="G97" s="84">
        <f>IFERROR((Table1[[#This Row],[Cont. Income - Foundation]]+Table1[[#This Row],[Cont. Income - Membership]]+Table1[[#This Row],[Cont. Income - Small Donors]]+Table1[[#This Row],[Cont. Income - Med. Donors]]+Table1[[#This Row],[Cont. Income - Major Donors]]+Table1[[#This Row],[Cont. Income - Other]]),0)</f>
        <v>38498</v>
      </c>
      <c r="H97" s="84">
        <f>IFERROR((Table1[[#This Row],[Earned Income - Advertising]]+Table1[[#This Row],[Earned Income - Sponsorships/Underwriting]]+Table1[[#This Row],[Earned Income - Events]]+Table1[[#This Row],[Earned Income - Subscriptions]]+Table1[[#This Row],[Earned Income - Syndication]]+Table1[[#This Row],[Earned Income - Other TOTAL]]),0)</f>
        <v>97319</v>
      </c>
      <c r="I97" s="71">
        <v>7000</v>
      </c>
      <c r="J97" s="71">
        <v>0</v>
      </c>
      <c r="K97" s="71">
        <v>27748</v>
      </c>
      <c r="L97" s="71">
        <v>3750</v>
      </c>
      <c r="M97" s="71">
        <v>0</v>
      </c>
      <c r="N97" s="71">
        <v>0</v>
      </c>
      <c r="O97" s="76" t="s">
        <v>406</v>
      </c>
      <c r="P97" s="71">
        <v>94823</v>
      </c>
      <c r="Q97" s="71">
        <v>0</v>
      </c>
      <c r="R97" s="71">
        <v>0</v>
      </c>
      <c r="S97" s="71">
        <v>2496</v>
      </c>
      <c r="T97" s="71">
        <v>0</v>
      </c>
      <c r="U97" s="85">
        <f>IFERROR(Table1[[#This Row],[Earned Income - Training Fees]]+Table1[[#This Row],[Earned Income - Fees]]+Table1[[#This Row],[Earned Income - Investments]]+Table1[[#This Row],[Earned Income - Other]],0)</f>
        <v>0</v>
      </c>
      <c r="V97" s="71">
        <v>0</v>
      </c>
      <c r="W97" s="71">
        <v>0</v>
      </c>
      <c r="X97" s="83" t="s">
        <v>406</v>
      </c>
      <c r="Y97" s="71">
        <v>0</v>
      </c>
      <c r="Z97" s="71">
        <v>0</v>
      </c>
      <c r="AA97" s="83" t="s">
        <v>406</v>
      </c>
      <c r="AB97" s="85">
        <f t="shared" si="2"/>
        <v>71000</v>
      </c>
      <c r="AC97" s="71">
        <v>40000</v>
      </c>
      <c r="AD97" s="85">
        <f>SUM(Table1[[#This Row],[Expenses - Revenue Generation]:[Expenses - Admin]])</f>
        <v>31000</v>
      </c>
      <c r="AE97" s="71">
        <v>18000</v>
      </c>
      <c r="AF97" s="71">
        <v>3000</v>
      </c>
      <c r="AG97" s="71">
        <v>10000</v>
      </c>
      <c r="AH97" s="72">
        <f>Table1[[#This Row],[Total FTE - Editorial]]+Table1[[#This Row],[Total FTE - Non-Editorial]]</f>
        <v>2.75</v>
      </c>
      <c r="AI97" s="72">
        <f>Table1[[#This Row],[FTE Salaried - Editorial]]+Table1[[#This Row],[FTE Contractors - Editorial]]</f>
        <v>1.5</v>
      </c>
      <c r="AJ97" s="56">
        <v>0.5</v>
      </c>
      <c r="AK97" s="56">
        <v>1</v>
      </c>
      <c r="AL97" s="57">
        <f>Table1[[#This Row],[FTE Salaried - Non-Editorial]]+Table1[[#This Row],[FTE Contractors - Non-Editorial]]</f>
        <v>1.25</v>
      </c>
      <c r="AM97" s="56">
        <v>0.5</v>
      </c>
      <c r="AN97" s="56">
        <v>0.75</v>
      </c>
      <c r="AO97" s="83" t="s">
        <v>394</v>
      </c>
      <c r="AP97" s="83" t="s">
        <v>406</v>
      </c>
      <c r="AQ97" s="73">
        <v>14000</v>
      </c>
      <c r="AR97" s="73">
        <v>130</v>
      </c>
      <c r="AS97" s="73">
        <v>120000</v>
      </c>
      <c r="AT97" s="73">
        <v>12</v>
      </c>
      <c r="AU97" s="73">
        <v>0</v>
      </c>
      <c r="AV97" s="83" t="s">
        <v>406</v>
      </c>
      <c r="BC97" s="54"/>
      <c r="BD97" s="54"/>
      <c r="BE97" s="54"/>
      <c r="BF97" s="54"/>
      <c r="BG97" s="54"/>
      <c r="BI97" s="54"/>
      <c r="BK97" s="54"/>
      <c r="BL97" s="54"/>
      <c r="BM97" s="54"/>
      <c r="BN97" s="54"/>
      <c r="BO97" s="54"/>
      <c r="BP97" s="54"/>
      <c r="BS97" s="54"/>
      <c r="BT97" s="54"/>
      <c r="BU97" s="54"/>
      <c r="BV97" s="54"/>
      <c r="BW97" s="54"/>
    </row>
    <row r="98" spans="1:75" x14ac:dyDescent="0.25">
      <c r="A98" s="83" t="s">
        <v>578</v>
      </c>
      <c r="B98" s="83"/>
      <c r="C98" s="83" t="s">
        <v>6</v>
      </c>
      <c r="D98" s="83" t="s">
        <v>79</v>
      </c>
      <c r="E98" s="54" t="str">
        <f>_xlfn.CONCAT(Table1[[#This Row],[Geographic Scope]],": ",Table1[[#This Row],[Sub-Type/Focus]])</f>
        <v>National: Single-Topic</v>
      </c>
      <c r="F98" s="55">
        <f>Table1[[#This Row],[Total Contributed Income]]+Table1[[#This Row],[Total Earned Income]]</f>
        <v>0</v>
      </c>
      <c r="G98" s="84">
        <f>IFERROR((Table1[[#This Row],[Cont. Income - Foundation]]+Table1[[#This Row],[Cont. Income - Membership]]+Table1[[#This Row],[Cont. Income - Small Donors]]+Table1[[#This Row],[Cont. Income - Med. Donors]]+Table1[[#This Row],[Cont. Income - Major Donors]]+Table1[[#This Row],[Cont. Income - Other]]),0)</f>
        <v>0</v>
      </c>
      <c r="H98" s="84">
        <f>IFERROR((Table1[[#This Row],[Earned Income - Advertising]]+Table1[[#This Row],[Earned Income - Sponsorships/Underwriting]]+Table1[[#This Row],[Earned Income - Events]]+Table1[[#This Row],[Earned Income - Subscriptions]]+Table1[[#This Row],[Earned Income - Syndication]]+Table1[[#This Row],[Earned Income - Other TOTAL]]),0)</f>
        <v>0</v>
      </c>
      <c r="I98" s="71" t="s">
        <v>406</v>
      </c>
      <c r="J98" s="71" t="s">
        <v>406</v>
      </c>
      <c r="K98" s="71" t="s">
        <v>406</v>
      </c>
      <c r="L98" s="71" t="s">
        <v>406</v>
      </c>
      <c r="M98" s="71" t="s">
        <v>406</v>
      </c>
      <c r="N98" s="71" t="s">
        <v>406</v>
      </c>
      <c r="O98" s="76" t="s">
        <v>406</v>
      </c>
      <c r="P98" s="71" t="s">
        <v>406</v>
      </c>
      <c r="Q98" s="71" t="s">
        <v>406</v>
      </c>
      <c r="R98" s="71" t="s">
        <v>406</v>
      </c>
      <c r="S98" s="71" t="s">
        <v>406</v>
      </c>
      <c r="T98" s="71" t="s">
        <v>406</v>
      </c>
      <c r="U98" s="85">
        <f>IFERROR(Table1[[#This Row],[Earned Income - Training Fees]]+Table1[[#This Row],[Earned Income - Fees]]+Table1[[#This Row],[Earned Income - Investments]]+Table1[[#This Row],[Earned Income - Other]],0)</f>
        <v>0</v>
      </c>
      <c r="V98" s="71" t="s">
        <v>406</v>
      </c>
      <c r="W98" s="71" t="s">
        <v>406</v>
      </c>
      <c r="X98" s="83" t="s">
        <v>406</v>
      </c>
      <c r="Y98" s="71" t="s">
        <v>406</v>
      </c>
      <c r="Z98" s="71" t="s">
        <v>406</v>
      </c>
      <c r="AA98" s="83" t="s">
        <v>406</v>
      </c>
      <c r="AB98" s="85">
        <f t="shared" ref="AB98:AB109" si="3">SUM(AC98:AD98)</f>
        <v>0</v>
      </c>
      <c r="AC98" s="71" t="s">
        <v>406</v>
      </c>
      <c r="AD98" s="85">
        <f>SUM(Table1[[#This Row],[Expenses - Revenue Generation]:[Expenses - Admin]])</f>
        <v>0</v>
      </c>
      <c r="AE98" s="71" t="s">
        <v>406</v>
      </c>
      <c r="AF98" s="71" t="s">
        <v>406</v>
      </c>
      <c r="AG98" s="71" t="s">
        <v>406</v>
      </c>
      <c r="AH98" s="72">
        <f>Table1[[#This Row],[Total FTE - Editorial]]+Table1[[#This Row],[Total FTE - Non-Editorial]]</f>
        <v>2</v>
      </c>
      <c r="AI98" s="72">
        <f>Table1[[#This Row],[FTE Salaried - Editorial]]+Table1[[#This Row],[FTE Contractors - Editorial]]</f>
        <v>1</v>
      </c>
      <c r="AJ98" s="56">
        <v>1</v>
      </c>
      <c r="AK98" s="56">
        <v>0</v>
      </c>
      <c r="AL98" s="57">
        <f>Table1[[#This Row],[FTE Salaried - Non-Editorial]]+Table1[[#This Row],[FTE Contractors - Non-Editorial]]</f>
        <v>1</v>
      </c>
      <c r="AM98" s="56">
        <v>0</v>
      </c>
      <c r="AN98" s="56">
        <v>1</v>
      </c>
      <c r="AO98" s="83" t="s">
        <v>342</v>
      </c>
      <c r="AP98" s="83" t="s">
        <v>406</v>
      </c>
      <c r="AQ98" s="73">
        <v>0</v>
      </c>
      <c r="AR98" s="73">
        <v>7865</v>
      </c>
      <c r="AS98" s="73">
        <v>0</v>
      </c>
      <c r="AT98" s="73">
        <v>0</v>
      </c>
      <c r="AU98" s="73">
        <v>0</v>
      </c>
      <c r="AV98" s="83" t="s">
        <v>406</v>
      </c>
      <c r="BC98" s="54"/>
      <c r="BD98" s="54"/>
      <c r="BE98" s="54"/>
      <c r="BF98" s="54"/>
      <c r="BG98" s="54"/>
      <c r="BI98" s="54"/>
      <c r="BK98" s="54"/>
      <c r="BL98" s="54"/>
      <c r="BM98" s="54"/>
      <c r="BN98" s="54"/>
      <c r="BO98" s="54"/>
      <c r="BP98" s="54"/>
      <c r="BS98" s="54"/>
      <c r="BT98" s="54"/>
      <c r="BU98" s="54"/>
      <c r="BV98" s="54"/>
      <c r="BW98" s="54"/>
    </row>
    <row r="99" spans="1:75" x14ac:dyDescent="0.25">
      <c r="A99" s="83" t="s">
        <v>579</v>
      </c>
      <c r="B99" s="83"/>
      <c r="C99" s="83" t="s">
        <v>83</v>
      </c>
      <c r="D99" s="83" t="s">
        <v>78</v>
      </c>
      <c r="E99" s="54" t="str">
        <f>_xlfn.CONCAT(Table1[[#This Row],[Geographic Scope]],": ",Table1[[#This Row],[Sub-Type/Focus]])</f>
        <v>State: Multiple Related Topics</v>
      </c>
      <c r="F99" s="55">
        <f>Table1[[#This Row],[Total Contributed Income]]+Table1[[#This Row],[Total Earned Income]]</f>
        <v>0</v>
      </c>
      <c r="G99" s="84">
        <f>IFERROR((Table1[[#This Row],[Cont. Income - Foundation]]+Table1[[#This Row],[Cont. Income - Membership]]+Table1[[#This Row],[Cont. Income - Small Donors]]+Table1[[#This Row],[Cont. Income - Med. Donors]]+Table1[[#This Row],[Cont. Income - Major Donors]]+Table1[[#This Row],[Cont. Income - Other]]),0)</f>
        <v>0</v>
      </c>
      <c r="H99" s="84">
        <f>IFERROR((Table1[[#This Row],[Earned Income - Advertising]]+Table1[[#This Row],[Earned Income - Sponsorships/Underwriting]]+Table1[[#This Row],[Earned Income - Events]]+Table1[[#This Row],[Earned Income - Subscriptions]]+Table1[[#This Row],[Earned Income - Syndication]]+Table1[[#This Row],[Earned Income - Other TOTAL]]),0)</f>
        <v>0</v>
      </c>
      <c r="I99" s="71" t="s">
        <v>406</v>
      </c>
      <c r="J99" s="71" t="s">
        <v>406</v>
      </c>
      <c r="K99" s="71" t="s">
        <v>406</v>
      </c>
      <c r="L99" s="71" t="s">
        <v>406</v>
      </c>
      <c r="M99" s="71" t="s">
        <v>406</v>
      </c>
      <c r="N99" s="71" t="s">
        <v>406</v>
      </c>
      <c r="O99" s="76" t="s">
        <v>406</v>
      </c>
      <c r="P99" s="71" t="s">
        <v>406</v>
      </c>
      <c r="Q99" s="71" t="s">
        <v>406</v>
      </c>
      <c r="R99" s="71" t="s">
        <v>406</v>
      </c>
      <c r="S99" s="71" t="s">
        <v>406</v>
      </c>
      <c r="T99" s="71" t="s">
        <v>406</v>
      </c>
      <c r="U99" s="85">
        <f>IFERROR(Table1[[#This Row],[Earned Income - Training Fees]]+Table1[[#This Row],[Earned Income - Fees]]+Table1[[#This Row],[Earned Income - Investments]]+Table1[[#This Row],[Earned Income - Other]],0)</f>
        <v>0</v>
      </c>
      <c r="V99" s="71" t="s">
        <v>406</v>
      </c>
      <c r="W99" s="71" t="s">
        <v>406</v>
      </c>
      <c r="X99" s="83" t="s">
        <v>406</v>
      </c>
      <c r="Y99" s="71" t="s">
        <v>406</v>
      </c>
      <c r="Z99" s="71" t="s">
        <v>406</v>
      </c>
      <c r="AA99" s="83" t="s">
        <v>406</v>
      </c>
      <c r="AB99" s="85">
        <f t="shared" si="3"/>
        <v>0</v>
      </c>
      <c r="AC99" s="71" t="s">
        <v>406</v>
      </c>
      <c r="AD99" s="85">
        <f>SUM(Table1[[#This Row],[Expenses - Revenue Generation]:[Expenses - Admin]])</f>
        <v>0</v>
      </c>
      <c r="AE99" s="71" t="s">
        <v>406</v>
      </c>
      <c r="AF99" s="71" t="s">
        <v>406</v>
      </c>
      <c r="AG99" s="71" t="s">
        <v>406</v>
      </c>
      <c r="AH99" s="72">
        <f>Table1[[#This Row],[Total FTE - Editorial]]+Table1[[#This Row],[Total FTE - Non-Editorial]]</f>
        <v>3</v>
      </c>
      <c r="AI99" s="72">
        <f>Table1[[#This Row],[FTE Salaried - Editorial]]+Table1[[#This Row],[FTE Contractors - Editorial]]</f>
        <v>1.5</v>
      </c>
      <c r="AJ99" s="56">
        <v>1</v>
      </c>
      <c r="AK99" s="56">
        <v>0.5</v>
      </c>
      <c r="AL99" s="57">
        <f>Table1[[#This Row],[FTE Salaried - Non-Editorial]]+Table1[[#This Row],[FTE Contractors - Non-Editorial]]</f>
        <v>1.5</v>
      </c>
      <c r="AM99" s="56">
        <v>0</v>
      </c>
      <c r="AN99" s="56">
        <v>1.5</v>
      </c>
      <c r="AO99" s="83" t="s">
        <v>342</v>
      </c>
      <c r="AP99" s="83" t="s">
        <v>406</v>
      </c>
      <c r="AQ99" s="73">
        <v>20000</v>
      </c>
      <c r="AR99" s="73">
        <v>850</v>
      </c>
      <c r="AS99" s="73">
        <v>0</v>
      </c>
      <c r="AT99" s="73">
        <v>0</v>
      </c>
      <c r="AU99" s="73">
        <v>0</v>
      </c>
      <c r="AV99" s="83" t="s">
        <v>406</v>
      </c>
      <c r="BC99" s="54"/>
      <c r="BD99" s="54"/>
      <c r="BE99" s="54"/>
      <c r="BF99" s="54"/>
      <c r="BG99" s="54"/>
      <c r="BI99" s="54"/>
      <c r="BK99" s="54"/>
      <c r="BL99" s="54"/>
      <c r="BM99" s="54"/>
      <c r="BN99" s="54"/>
      <c r="BO99" s="54"/>
      <c r="BP99" s="54"/>
      <c r="BS99" s="54"/>
      <c r="BT99" s="54"/>
      <c r="BU99" s="54"/>
      <c r="BV99" s="54"/>
      <c r="BW99" s="54"/>
    </row>
    <row r="100" spans="1:75" x14ac:dyDescent="0.25">
      <c r="A100" s="83" t="s">
        <v>580</v>
      </c>
      <c r="B100" s="83"/>
      <c r="C100" s="83" t="s">
        <v>83</v>
      </c>
      <c r="D100" s="83" t="s">
        <v>78</v>
      </c>
      <c r="E100" s="54" t="str">
        <f>_xlfn.CONCAT(Table1[[#This Row],[Geographic Scope]],": ",Table1[[#This Row],[Sub-Type/Focus]])</f>
        <v>State: Multiple Related Topics</v>
      </c>
      <c r="F100" s="55">
        <f>Table1[[#This Row],[Total Contributed Income]]+Table1[[#This Row],[Total Earned Income]]</f>
        <v>0</v>
      </c>
      <c r="G100" s="84">
        <f>IFERROR((Table1[[#This Row],[Cont. Income - Foundation]]+Table1[[#This Row],[Cont. Income - Membership]]+Table1[[#This Row],[Cont. Income - Small Donors]]+Table1[[#This Row],[Cont. Income - Med. Donors]]+Table1[[#This Row],[Cont. Income - Major Donors]]+Table1[[#This Row],[Cont. Income - Other]]),0)</f>
        <v>0</v>
      </c>
      <c r="H100" s="84">
        <f>IFERROR((Table1[[#This Row],[Earned Income - Advertising]]+Table1[[#This Row],[Earned Income - Sponsorships/Underwriting]]+Table1[[#This Row],[Earned Income - Events]]+Table1[[#This Row],[Earned Income - Subscriptions]]+Table1[[#This Row],[Earned Income - Syndication]]+Table1[[#This Row],[Earned Income - Other TOTAL]]),0)</f>
        <v>0</v>
      </c>
      <c r="I100" s="71" t="s">
        <v>406</v>
      </c>
      <c r="J100" s="71" t="s">
        <v>406</v>
      </c>
      <c r="K100" s="71" t="s">
        <v>406</v>
      </c>
      <c r="L100" s="71" t="s">
        <v>406</v>
      </c>
      <c r="M100" s="71" t="s">
        <v>406</v>
      </c>
      <c r="N100" s="71" t="s">
        <v>406</v>
      </c>
      <c r="O100" s="76" t="s">
        <v>406</v>
      </c>
      <c r="P100" s="71" t="s">
        <v>406</v>
      </c>
      <c r="Q100" s="71" t="s">
        <v>406</v>
      </c>
      <c r="R100" s="71" t="s">
        <v>406</v>
      </c>
      <c r="S100" s="71" t="s">
        <v>406</v>
      </c>
      <c r="T100" s="71" t="s">
        <v>406</v>
      </c>
      <c r="U100" s="85">
        <f>IFERROR(Table1[[#This Row],[Earned Income - Training Fees]]+Table1[[#This Row],[Earned Income - Fees]]+Table1[[#This Row],[Earned Income - Investments]]+Table1[[#This Row],[Earned Income - Other]],0)</f>
        <v>0</v>
      </c>
      <c r="V100" s="71" t="s">
        <v>406</v>
      </c>
      <c r="W100" s="71" t="s">
        <v>406</v>
      </c>
      <c r="X100" s="83" t="s">
        <v>406</v>
      </c>
      <c r="Y100" s="71" t="s">
        <v>406</v>
      </c>
      <c r="Z100" s="71" t="s">
        <v>406</v>
      </c>
      <c r="AA100" s="83" t="s">
        <v>406</v>
      </c>
      <c r="AB100" s="85">
        <f t="shared" si="3"/>
        <v>0</v>
      </c>
      <c r="AC100" s="71" t="s">
        <v>406</v>
      </c>
      <c r="AD100" s="85">
        <f>SUM(Table1[[#This Row],[Expenses - Revenue Generation]:[Expenses - Admin]])</f>
        <v>0</v>
      </c>
      <c r="AE100" s="71" t="s">
        <v>406</v>
      </c>
      <c r="AF100" s="71" t="s">
        <v>406</v>
      </c>
      <c r="AG100" s="71" t="s">
        <v>406</v>
      </c>
      <c r="AH100" s="72">
        <f>Table1[[#This Row],[Total FTE - Editorial]]+Table1[[#This Row],[Total FTE - Non-Editorial]]</f>
        <v>10</v>
      </c>
      <c r="AI100" s="72">
        <f>Table1[[#This Row],[FTE Salaried - Editorial]]+Table1[[#This Row],[FTE Contractors - Editorial]]</f>
        <v>8</v>
      </c>
      <c r="AJ100" s="56">
        <v>8</v>
      </c>
      <c r="AK100" s="56">
        <v>0</v>
      </c>
      <c r="AL100" s="57">
        <f>Table1[[#This Row],[FTE Salaried - Non-Editorial]]+Table1[[#This Row],[FTE Contractors - Non-Editorial]]</f>
        <v>2</v>
      </c>
      <c r="AM100" s="56">
        <v>2</v>
      </c>
      <c r="AN100" s="56">
        <v>0</v>
      </c>
      <c r="AO100" s="83" t="s">
        <v>342</v>
      </c>
      <c r="AP100" s="83" t="s">
        <v>406</v>
      </c>
      <c r="AQ100" s="73">
        <v>10474</v>
      </c>
      <c r="AR100" s="73">
        <v>2897</v>
      </c>
      <c r="AS100" s="73">
        <v>0</v>
      </c>
      <c r="AT100" s="73">
        <v>0</v>
      </c>
      <c r="AU100" s="73">
        <v>0</v>
      </c>
      <c r="AV100" s="83" t="s">
        <v>406</v>
      </c>
      <c r="BC100" s="54"/>
      <c r="BD100" s="54"/>
      <c r="BE100" s="54"/>
      <c r="BF100" s="54"/>
      <c r="BG100" s="54"/>
      <c r="BI100" s="54"/>
      <c r="BK100" s="54"/>
      <c r="BL100" s="54"/>
      <c r="BM100" s="54"/>
      <c r="BN100" s="54"/>
      <c r="BO100" s="54"/>
      <c r="BP100" s="54"/>
      <c r="BS100" s="54"/>
      <c r="BT100" s="54"/>
      <c r="BU100" s="54"/>
      <c r="BV100" s="54"/>
      <c r="BW100" s="54"/>
    </row>
    <row r="101" spans="1:75" x14ac:dyDescent="0.25">
      <c r="A101" s="83" t="s">
        <v>581</v>
      </c>
      <c r="B101" s="83"/>
      <c r="C101" s="83" t="s">
        <v>378</v>
      </c>
      <c r="D101" s="83" t="s">
        <v>78</v>
      </c>
      <c r="E101" s="54" t="str">
        <f>_xlfn.CONCAT(Table1[[#This Row],[Geographic Scope]],": ",Table1[[#This Row],[Sub-Type/Focus]])</f>
        <v>Regional: Multiple Related Topics</v>
      </c>
      <c r="F101" s="55">
        <f>Table1[[#This Row],[Total Contributed Income]]+Table1[[#This Row],[Total Earned Income]]</f>
        <v>0</v>
      </c>
      <c r="G101" s="84">
        <f>IFERROR((Table1[[#This Row],[Cont. Income - Foundation]]+Table1[[#This Row],[Cont. Income - Membership]]+Table1[[#This Row],[Cont. Income - Small Donors]]+Table1[[#This Row],[Cont. Income - Med. Donors]]+Table1[[#This Row],[Cont. Income - Major Donors]]+Table1[[#This Row],[Cont. Income - Other]]),0)</f>
        <v>0</v>
      </c>
      <c r="H101" s="84">
        <f>IFERROR((Table1[[#This Row],[Earned Income - Advertising]]+Table1[[#This Row],[Earned Income - Sponsorships/Underwriting]]+Table1[[#This Row],[Earned Income - Events]]+Table1[[#This Row],[Earned Income - Subscriptions]]+Table1[[#This Row],[Earned Income - Syndication]]+Table1[[#This Row],[Earned Income - Other TOTAL]]),0)</f>
        <v>0</v>
      </c>
      <c r="I101" s="71" t="s">
        <v>406</v>
      </c>
      <c r="J101" s="71" t="s">
        <v>406</v>
      </c>
      <c r="K101" s="71" t="s">
        <v>406</v>
      </c>
      <c r="L101" s="71" t="s">
        <v>406</v>
      </c>
      <c r="M101" s="71" t="s">
        <v>406</v>
      </c>
      <c r="N101" s="71" t="s">
        <v>406</v>
      </c>
      <c r="O101" s="76" t="s">
        <v>406</v>
      </c>
      <c r="P101" s="71" t="s">
        <v>406</v>
      </c>
      <c r="Q101" s="71" t="s">
        <v>406</v>
      </c>
      <c r="R101" s="71" t="s">
        <v>406</v>
      </c>
      <c r="S101" s="71" t="s">
        <v>406</v>
      </c>
      <c r="T101" s="71" t="s">
        <v>406</v>
      </c>
      <c r="U101" s="85">
        <f>IFERROR(Table1[[#This Row],[Earned Income - Training Fees]]+Table1[[#This Row],[Earned Income - Fees]]+Table1[[#This Row],[Earned Income - Investments]]+Table1[[#This Row],[Earned Income - Other]],0)</f>
        <v>0</v>
      </c>
      <c r="V101" s="71" t="s">
        <v>406</v>
      </c>
      <c r="W101" s="71" t="s">
        <v>406</v>
      </c>
      <c r="X101" s="83" t="s">
        <v>406</v>
      </c>
      <c r="Y101" s="71" t="s">
        <v>406</v>
      </c>
      <c r="Z101" s="71" t="s">
        <v>406</v>
      </c>
      <c r="AA101" s="83" t="s">
        <v>406</v>
      </c>
      <c r="AB101" s="85">
        <f t="shared" si="3"/>
        <v>0</v>
      </c>
      <c r="AC101" s="71" t="s">
        <v>406</v>
      </c>
      <c r="AD101" s="85">
        <f>SUM(Table1[[#This Row],[Expenses - Revenue Generation]:[Expenses - Admin]])</f>
        <v>0</v>
      </c>
      <c r="AE101" s="71" t="s">
        <v>406</v>
      </c>
      <c r="AF101" s="71" t="s">
        <v>406</v>
      </c>
      <c r="AG101" s="71" t="s">
        <v>406</v>
      </c>
      <c r="AH101" s="72">
        <f>Table1[[#This Row],[Total FTE - Editorial]]+Table1[[#This Row],[Total FTE - Non-Editorial]]</f>
        <v>2</v>
      </c>
      <c r="AI101" s="72">
        <f>Table1[[#This Row],[FTE Salaried - Editorial]]+Table1[[#This Row],[FTE Contractors - Editorial]]</f>
        <v>1</v>
      </c>
      <c r="AJ101" s="56">
        <v>1</v>
      </c>
      <c r="AK101" s="56">
        <v>0</v>
      </c>
      <c r="AL101" s="57">
        <f>Table1[[#This Row],[FTE Salaried - Non-Editorial]]+Table1[[#This Row],[FTE Contractors - Non-Editorial]]</f>
        <v>1</v>
      </c>
      <c r="AM101" s="56">
        <v>1</v>
      </c>
      <c r="AN101" s="56">
        <v>0</v>
      </c>
      <c r="AO101" s="83" t="s">
        <v>342</v>
      </c>
      <c r="AP101" s="83" t="s">
        <v>406</v>
      </c>
      <c r="AQ101" s="73">
        <v>1000</v>
      </c>
      <c r="AR101" s="73">
        <v>575</v>
      </c>
      <c r="AS101" s="73">
        <v>0</v>
      </c>
      <c r="AT101" s="73">
        <v>0</v>
      </c>
      <c r="AU101" s="73">
        <v>0</v>
      </c>
      <c r="AV101" s="83" t="s">
        <v>406</v>
      </c>
      <c r="BC101" s="54"/>
      <c r="BD101" s="54"/>
      <c r="BE101" s="54"/>
      <c r="BF101" s="54"/>
      <c r="BG101" s="54"/>
      <c r="BI101" s="54"/>
      <c r="BK101" s="54"/>
      <c r="BL101" s="54"/>
      <c r="BM101" s="54"/>
      <c r="BN101" s="54"/>
      <c r="BO101" s="54"/>
      <c r="BP101" s="54"/>
      <c r="BS101" s="54"/>
      <c r="BT101" s="54"/>
      <c r="BU101" s="54"/>
      <c r="BV101" s="54"/>
      <c r="BW101" s="54"/>
    </row>
    <row r="102" spans="1:75" x14ac:dyDescent="0.25">
      <c r="A102" s="83" t="s">
        <v>582</v>
      </c>
      <c r="B102" s="83"/>
      <c r="C102" s="83" t="s">
        <v>7</v>
      </c>
      <c r="D102" s="83" t="s">
        <v>77</v>
      </c>
      <c r="E102" s="54" t="str">
        <f>_xlfn.CONCAT(Table1[[#This Row],[Geographic Scope]],": ",Table1[[#This Row],[Sub-Type/Focus]])</f>
        <v>Local: General</v>
      </c>
      <c r="F102" s="55">
        <f>Table1[[#This Row],[Total Contributed Income]]+Table1[[#This Row],[Total Earned Income]]</f>
        <v>110657</v>
      </c>
      <c r="G102" s="84">
        <f>IFERROR((Table1[[#This Row],[Cont. Income - Foundation]]+Table1[[#This Row],[Cont. Income - Membership]]+Table1[[#This Row],[Cont. Income - Small Donors]]+Table1[[#This Row],[Cont. Income - Med. Donors]]+Table1[[#This Row],[Cont. Income - Major Donors]]+Table1[[#This Row],[Cont. Income - Other]]),0)</f>
        <v>79847</v>
      </c>
      <c r="H102" s="84">
        <f>IFERROR((Table1[[#This Row],[Earned Income - Advertising]]+Table1[[#This Row],[Earned Income - Sponsorships/Underwriting]]+Table1[[#This Row],[Earned Income - Events]]+Table1[[#This Row],[Earned Income - Subscriptions]]+Table1[[#This Row],[Earned Income - Syndication]]+Table1[[#This Row],[Earned Income - Other TOTAL]]),0)</f>
        <v>30810</v>
      </c>
      <c r="I102" s="71">
        <v>0</v>
      </c>
      <c r="J102" s="71">
        <v>0</v>
      </c>
      <c r="K102" s="71">
        <v>43847</v>
      </c>
      <c r="L102" s="71">
        <v>26000</v>
      </c>
      <c r="M102" s="71">
        <v>10000</v>
      </c>
      <c r="N102" s="71">
        <v>0</v>
      </c>
      <c r="O102" s="76" t="s">
        <v>406</v>
      </c>
      <c r="P102" s="71">
        <v>22300</v>
      </c>
      <c r="Q102" s="71">
        <v>8510</v>
      </c>
      <c r="R102" s="71">
        <v>0</v>
      </c>
      <c r="S102" s="71">
        <v>0</v>
      </c>
      <c r="T102" s="71">
        <v>0</v>
      </c>
      <c r="U102" s="85">
        <f>IFERROR(Table1[[#This Row],[Earned Income - Training Fees]]+Table1[[#This Row],[Earned Income - Fees]]+Table1[[#This Row],[Earned Income - Investments]]+Table1[[#This Row],[Earned Income - Other]],0)</f>
        <v>0</v>
      </c>
      <c r="V102" s="71">
        <v>0</v>
      </c>
      <c r="W102" s="71">
        <v>0</v>
      </c>
      <c r="X102" s="83" t="s">
        <v>406</v>
      </c>
      <c r="Y102" s="71">
        <v>0</v>
      </c>
      <c r="Z102" s="71">
        <v>0</v>
      </c>
      <c r="AA102" s="83" t="s">
        <v>406</v>
      </c>
      <c r="AB102" s="85">
        <f t="shared" si="3"/>
        <v>62988</v>
      </c>
      <c r="AC102" s="71">
        <v>29641</v>
      </c>
      <c r="AD102" s="85">
        <f>SUM(Table1[[#This Row],[Expenses - Revenue Generation]:[Expenses - Admin]])</f>
        <v>33347</v>
      </c>
      <c r="AE102" s="71">
        <v>15304</v>
      </c>
      <c r="AF102" s="71">
        <v>3423</v>
      </c>
      <c r="AG102" s="71">
        <v>14620</v>
      </c>
      <c r="AH102" s="72">
        <f>Table1[[#This Row],[Total FTE - Editorial]]+Table1[[#This Row],[Total FTE - Non-Editorial]]</f>
        <v>2</v>
      </c>
      <c r="AI102" s="72">
        <f>Table1[[#This Row],[FTE Salaried - Editorial]]+Table1[[#This Row],[FTE Contractors - Editorial]]</f>
        <v>1</v>
      </c>
      <c r="AJ102" s="56">
        <v>1</v>
      </c>
      <c r="AK102" s="56">
        <v>0</v>
      </c>
      <c r="AL102" s="57">
        <f>Table1[[#This Row],[FTE Salaried - Non-Editorial]]+Table1[[#This Row],[FTE Contractors - Non-Editorial]]</f>
        <v>1</v>
      </c>
      <c r="AM102" s="56">
        <v>0</v>
      </c>
      <c r="AN102" s="56">
        <v>1</v>
      </c>
      <c r="AO102" s="83" t="s">
        <v>342</v>
      </c>
      <c r="AP102" s="83" t="s">
        <v>406</v>
      </c>
      <c r="AQ102" s="73">
        <v>11707</v>
      </c>
      <c r="AR102" s="73">
        <v>1690</v>
      </c>
      <c r="AS102" s="73">
        <v>6000</v>
      </c>
      <c r="AT102" s="73">
        <v>1</v>
      </c>
      <c r="AU102" s="73">
        <v>0</v>
      </c>
      <c r="AV102" s="83" t="s">
        <v>406</v>
      </c>
      <c r="BC102" s="54"/>
      <c r="BD102" s="54"/>
      <c r="BE102" s="54"/>
      <c r="BF102" s="54"/>
      <c r="BG102" s="54"/>
      <c r="BI102" s="54"/>
      <c r="BK102" s="54"/>
      <c r="BL102" s="54"/>
      <c r="BM102" s="54"/>
      <c r="BN102" s="54"/>
      <c r="BO102" s="54"/>
      <c r="BP102" s="54"/>
      <c r="BS102" s="54"/>
      <c r="BT102" s="54"/>
      <c r="BU102" s="54"/>
      <c r="BV102" s="54"/>
      <c r="BW102" s="54"/>
    </row>
    <row r="103" spans="1:75" x14ac:dyDescent="0.25">
      <c r="A103" s="83" t="s">
        <v>583</v>
      </c>
      <c r="B103" s="83"/>
      <c r="C103" s="83" t="s">
        <v>7</v>
      </c>
      <c r="D103" s="83" t="s">
        <v>77</v>
      </c>
      <c r="E103" s="54" t="str">
        <f>_xlfn.CONCAT(Table1[[#This Row],[Geographic Scope]],": ",Table1[[#This Row],[Sub-Type/Focus]])</f>
        <v>Local: General</v>
      </c>
      <c r="F103" s="55">
        <f>Table1[[#This Row],[Total Contributed Income]]+Table1[[#This Row],[Total Earned Income]]</f>
        <v>114500</v>
      </c>
      <c r="G103" s="84">
        <f>IFERROR((Table1[[#This Row],[Cont. Income - Foundation]]+Table1[[#This Row],[Cont. Income - Membership]]+Table1[[#This Row],[Cont. Income - Small Donors]]+Table1[[#This Row],[Cont. Income - Med. Donors]]+Table1[[#This Row],[Cont. Income - Major Donors]]+Table1[[#This Row],[Cont. Income - Other]]),0)</f>
        <v>95500</v>
      </c>
      <c r="H103" s="84">
        <f>IFERROR((Table1[[#This Row],[Earned Income - Advertising]]+Table1[[#This Row],[Earned Income - Sponsorships/Underwriting]]+Table1[[#This Row],[Earned Income - Events]]+Table1[[#This Row],[Earned Income - Subscriptions]]+Table1[[#This Row],[Earned Income - Syndication]]+Table1[[#This Row],[Earned Income - Other TOTAL]]),0)</f>
        <v>19000</v>
      </c>
      <c r="I103" s="71">
        <v>20500</v>
      </c>
      <c r="J103" s="71">
        <v>35000</v>
      </c>
      <c r="K103" s="71">
        <v>20000</v>
      </c>
      <c r="L103" s="71">
        <v>20000</v>
      </c>
      <c r="M103" s="71">
        <v>0</v>
      </c>
      <c r="N103" s="71">
        <v>0</v>
      </c>
      <c r="O103" s="76" t="s">
        <v>406</v>
      </c>
      <c r="P103" s="71">
        <v>15000</v>
      </c>
      <c r="Q103" s="71">
        <v>0</v>
      </c>
      <c r="R103" s="71">
        <v>4000</v>
      </c>
      <c r="S103" s="71">
        <v>0</v>
      </c>
      <c r="T103" s="71">
        <v>0</v>
      </c>
      <c r="U103" s="85">
        <f>IFERROR(Table1[[#This Row],[Earned Income - Training Fees]]+Table1[[#This Row],[Earned Income - Fees]]+Table1[[#This Row],[Earned Income - Investments]]+Table1[[#This Row],[Earned Income - Other]],0)</f>
        <v>0</v>
      </c>
      <c r="V103" s="71">
        <v>0</v>
      </c>
      <c r="W103" s="71">
        <v>0</v>
      </c>
      <c r="X103" s="83" t="s">
        <v>406</v>
      </c>
      <c r="Y103" s="71">
        <v>0</v>
      </c>
      <c r="Z103" s="71">
        <v>0</v>
      </c>
      <c r="AA103" s="83" t="s">
        <v>406</v>
      </c>
      <c r="AB103" s="85">
        <f t="shared" si="3"/>
        <v>54000</v>
      </c>
      <c r="AC103" s="71">
        <v>35000</v>
      </c>
      <c r="AD103" s="85">
        <f>SUM(Table1[[#This Row],[Expenses - Revenue Generation]:[Expenses - Admin]])</f>
        <v>19000</v>
      </c>
      <c r="AE103" s="71">
        <v>7000</v>
      </c>
      <c r="AF103" s="71">
        <v>3000</v>
      </c>
      <c r="AG103" s="71">
        <v>9000</v>
      </c>
      <c r="AH103" s="72">
        <f>Table1[[#This Row],[Total FTE - Editorial]]+Table1[[#This Row],[Total FTE - Non-Editorial]]</f>
        <v>2</v>
      </c>
      <c r="AI103" s="72">
        <f>Table1[[#This Row],[FTE Salaried - Editorial]]+Table1[[#This Row],[FTE Contractors - Editorial]]</f>
        <v>2</v>
      </c>
      <c r="AJ103" s="56">
        <v>0</v>
      </c>
      <c r="AK103" s="56">
        <v>2</v>
      </c>
      <c r="AL103" s="57">
        <f>Table1[[#This Row],[FTE Salaried - Non-Editorial]]+Table1[[#This Row],[FTE Contractors - Non-Editorial]]</f>
        <v>0</v>
      </c>
      <c r="AM103" s="56">
        <v>0</v>
      </c>
      <c r="AN103" s="56">
        <v>0</v>
      </c>
      <c r="AO103" s="83" t="s">
        <v>342</v>
      </c>
      <c r="AP103" s="83" t="s">
        <v>406</v>
      </c>
      <c r="AQ103" s="73">
        <v>11000</v>
      </c>
      <c r="AR103" s="73">
        <v>2350</v>
      </c>
      <c r="AS103" s="73">
        <v>0</v>
      </c>
      <c r="AT103" s="73">
        <v>0</v>
      </c>
      <c r="AU103" s="73">
        <v>0</v>
      </c>
      <c r="AV103" s="83" t="s">
        <v>406</v>
      </c>
      <c r="BC103" s="54"/>
      <c r="BD103" s="54"/>
      <c r="BE103" s="54"/>
      <c r="BF103" s="54"/>
      <c r="BG103" s="54"/>
      <c r="BI103" s="54"/>
      <c r="BK103" s="54"/>
      <c r="BL103" s="54"/>
      <c r="BM103" s="54"/>
      <c r="BN103" s="54"/>
      <c r="BO103" s="54"/>
      <c r="BP103" s="54"/>
      <c r="BS103" s="54"/>
      <c r="BT103" s="54"/>
      <c r="BU103" s="54"/>
      <c r="BV103" s="54"/>
      <c r="BW103" s="54"/>
    </row>
    <row r="104" spans="1:75" x14ac:dyDescent="0.25">
      <c r="A104" s="83" t="s">
        <v>584</v>
      </c>
      <c r="B104" s="83"/>
      <c r="C104" s="83" t="s">
        <v>83</v>
      </c>
      <c r="D104" s="83" t="s">
        <v>78</v>
      </c>
      <c r="E104" s="54" t="str">
        <f>_xlfn.CONCAT(Table1[[#This Row],[Geographic Scope]],": ",Table1[[#This Row],[Sub-Type/Focus]])</f>
        <v>State: Multiple Related Topics</v>
      </c>
      <c r="F104" s="55">
        <f>Table1[[#This Row],[Total Contributed Income]]+Table1[[#This Row],[Total Earned Income]]</f>
        <v>85539.33</v>
      </c>
      <c r="G104" s="84">
        <f>IFERROR((Table1[[#This Row],[Cont. Income - Foundation]]+Table1[[#This Row],[Cont. Income - Membership]]+Table1[[#This Row],[Cont. Income - Small Donors]]+Table1[[#This Row],[Cont. Income - Med. Donors]]+Table1[[#This Row],[Cont. Income - Major Donors]]+Table1[[#This Row],[Cont. Income - Other]]),0)</f>
        <v>85539.33</v>
      </c>
      <c r="H104" s="84">
        <f>IFERROR((Table1[[#This Row],[Earned Income - Advertising]]+Table1[[#This Row],[Earned Income - Sponsorships/Underwriting]]+Table1[[#This Row],[Earned Income - Events]]+Table1[[#This Row],[Earned Income - Subscriptions]]+Table1[[#This Row],[Earned Income - Syndication]]+Table1[[#This Row],[Earned Income - Other TOTAL]]),0)</f>
        <v>0</v>
      </c>
      <c r="I104" s="71">
        <v>0</v>
      </c>
      <c r="J104" s="71">
        <v>0</v>
      </c>
      <c r="K104" s="71">
        <v>12669.33</v>
      </c>
      <c r="L104" s="71">
        <v>2020</v>
      </c>
      <c r="M104" s="71">
        <v>70850</v>
      </c>
      <c r="N104" s="71">
        <v>0</v>
      </c>
      <c r="O104" s="76" t="s">
        <v>406</v>
      </c>
      <c r="P104" s="71">
        <v>0</v>
      </c>
      <c r="Q104" s="71">
        <v>0</v>
      </c>
      <c r="R104" s="71">
        <v>0</v>
      </c>
      <c r="S104" s="71">
        <v>0</v>
      </c>
      <c r="T104" s="71">
        <v>0</v>
      </c>
      <c r="U104" s="85">
        <f>IFERROR(Table1[[#This Row],[Earned Income - Training Fees]]+Table1[[#This Row],[Earned Income - Fees]]+Table1[[#This Row],[Earned Income - Investments]]+Table1[[#This Row],[Earned Income - Other]],0)</f>
        <v>0</v>
      </c>
      <c r="V104" s="71">
        <v>0</v>
      </c>
      <c r="W104" s="71">
        <v>0</v>
      </c>
      <c r="X104" s="83" t="s">
        <v>406</v>
      </c>
      <c r="Y104" s="71">
        <v>0</v>
      </c>
      <c r="Z104" s="71">
        <v>0</v>
      </c>
      <c r="AA104" s="83" t="s">
        <v>406</v>
      </c>
      <c r="AB104" s="85">
        <f t="shared" si="3"/>
        <v>78815</v>
      </c>
      <c r="AC104" s="71">
        <v>76508</v>
      </c>
      <c r="AD104" s="85">
        <f>SUM(Table1[[#This Row],[Expenses - Revenue Generation]:[Expenses - Admin]])</f>
        <v>2307</v>
      </c>
      <c r="AE104" s="71">
        <v>0</v>
      </c>
      <c r="AF104" s="71">
        <v>1364</v>
      </c>
      <c r="AG104" s="71">
        <v>943</v>
      </c>
      <c r="AH104" s="72">
        <f>Table1[[#This Row],[Total FTE - Editorial]]+Table1[[#This Row],[Total FTE - Non-Editorial]]</f>
        <v>3.25</v>
      </c>
      <c r="AI104" s="72">
        <f>Table1[[#This Row],[FTE Salaried - Editorial]]+Table1[[#This Row],[FTE Contractors - Editorial]]</f>
        <v>2.5</v>
      </c>
      <c r="AJ104" s="56">
        <v>0</v>
      </c>
      <c r="AK104" s="56">
        <v>2.5</v>
      </c>
      <c r="AL104" s="57">
        <f>Table1[[#This Row],[FTE Salaried - Non-Editorial]]+Table1[[#This Row],[FTE Contractors - Non-Editorial]]</f>
        <v>0.75</v>
      </c>
      <c r="AM104" s="56">
        <v>0</v>
      </c>
      <c r="AN104" s="56">
        <v>0.75</v>
      </c>
      <c r="AO104" s="83" t="s">
        <v>342</v>
      </c>
      <c r="AP104" s="83" t="s">
        <v>406</v>
      </c>
      <c r="AQ104" s="73">
        <v>26814</v>
      </c>
      <c r="AR104" s="73">
        <v>2189</v>
      </c>
      <c r="AS104" s="73">
        <v>0</v>
      </c>
      <c r="AT104" s="73">
        <v>0</v>
      </c>
      <c r="AU104" s="73">
        <v>0</v>
      </c>
      <c r="AV104" s="83" t="s">
        <v>406</v>
      </c>
      <c r="BC104" s="54"/>
      <c r="BD104" s="54"/>
      <c r="BE104" s="54"/>
      <c r="BF104" s="54"/>
      <c r="BG104" s="54"/>
      <c r="BI104" s="54"/>
      <c r="BK104" s="54"/>
      <c r="BL104" s="54"/>
      <c r="BM104" s="54"/>
      <c r="BN104" s="54"/>
      <c r="BO104" s="54"/>
      <c r="BP104" s="54"/>
      <c r="BS104" s="54"/>
      <c r="BT104" s="54"/>
      <c r="BU104" s="54"/>
      <c r="BV104" s="54"/>
      <c r="BW104" s="54"/>
    </row>
    <row r="105" spans="1:75" s="69" customFormat="1" x14ac:dyDescent="0.25">
      <c r="A105" s="80" t="s">
        <v>585</v>
      </c>
      <c r="B105" s="80"/>
      <c r="C105" s="80" t="s">
        <v>7</v>
      </c>
      <c r="D105" s="80" t="s">
        <v>77</v>
      </c>
      <c r="E105" s="57" t="str">
        <f>_xlfn.CONCAT(Table1[[#This Row],[Geographic Scope]],": ",Table1[[#This Row],[Sub-Type/Focus]])</f>
        <v>Local: General</v>
      </c>
      <c r="F105" s="68">
        <f>Table1[[#This Row],[Total Contributed Income]]+Table1[[#This Row],[Total Earned Income]]</f>
        <v>0</v>
      </c>
      <c r="G105" s="86">
        <f>IFERROR((Table1[[#This Row],[Cont. Income - Foundation]]+Table1[[#This Row],[Cont. Income - Membership]]+Table1[[#This Row],[Cont. Income - Small Donors]]+Table1[[#This Row],[Cont. Income - Med. Donors]]+Table1[[#This Row],[Cont. Income - Major Donors]]+Table1[[#This Row],[Cont. Income - Other]]),0)</f>
        <v>0</v>
      </c>
      <c r="H105" s="86">
        <f>IFERROR((Table1[[#This Row],[Earned Income - Advertising]]+Table1[[#This Row],[Earned Income - Sponsorships/Underwriting]]+Table1[[#This Row],[Earned Income - Events]]+Table1[[#This Row],[Earned Income - Subscriptions]]+Table1[[#This Row],[Earned Income - Syndication]]+Table1[[#This Row],[Earned Income - Other TOTAL]]),0)</f>
        <v>0</v>
      </c>
      <c r="I105" s="71" t="s">
        <v>406</v>
      </c>
      <c r="J105" s="71" t="s">
        <v>406</v>
      </c>
      <c r="K105" s="71" t="s">
        <v>406</v>
      </c>
      <c r="L105" s="71" t="s">
        <v>406</v>
      </c>
      <c r="M105" s="71" t="s">
        <v>406</v>
      </c>
      <c r="N105" s="71" t="s">
        <v>406</v>
      </c>
      <c r="O105" s="76" t="s">
        <v>406</v>
      </c>
      <c r="P105" s="71" t="s">
        <v>406</v>
      </c>
      <c r="Q105" s="71" t="s">
        <v>406</v>
      </c>
      <c r="R105" s="71" t="s">
        <v>406</v>
      </c>
      <c r="S105" s="71" t="s">
        <v>406</v>
      </c>
      <c r="T105" s="71" t="s">
        <v>406</v>
      </c>
      <c r="U105" s="82">
        <f>IFERROR(Table1[[#This Row],[Earned Income - Training Fees]]+Table1[[#This Row],[Earned Income - Fees]]+Table1[[#This Row],[Earned Income - Investments]]+Table1[[#This Row],[Earned Income - Other]],0)</f>
        <v>0</v>
      </c>
      <c r="V105" s="71" t="s">
        <v>406</v>
      </c>
      <c r="W105" s="71" t="s">
        <v>406</v>
      </c>
      <c r="X105" s="80" t="s">
        <v>406</v>
      </c>
      <c r="Y105" s="71" t="s">
        <v>406</v>
      </c>
      <c r="Z105" s="71" t="s">
        <v>406</v>
      </c>
      <c r="AA105" s="80" t="s">
        <v>406</v>
      </c>
      <c r="AB105" s="82">
        <f t="shared" si="3"/>
        <v>0</v>
      </c>
      <c r="AC105" s="71" t="s">
        <v>406</v>
      </c>
      <c r="AD105" s="82">
        <f>SUM(Table1[[#This Row],[Expenses - Revenue Generation]:[Expenses - Admin]])</f>
        <v>0</v>
      </c>
      <c r="AE105" s="71" t="s">
        <v>406</v>
      </c>
      <c r="AF105" s="71" t="s">
        <v>406</v>
      </c>
      <c r="AG105" s="71" t="s">
        <v>406</v>
      </c>
      <c r="AH105" s="72">
        <f>Table1[[#This Row],[Total FTE - Editorial]]+Table1[[#This Row],[Total FTE - Non-Editorial]]</f>
        <v>12.75</v>
      </c>
      <c r="AI105" s="72">
        <f>Table1[[#This Row],[FTE Salaried - Editorial]]+Table1[[#This Row],[FTE Contractors - Editorial]]</f>
        <v>9.5</v>
      </c>
      <c r="AJ105" s="56">
        <v>1</v>
      </c>
      <c r="AK105" s="56">
        <v>8.5</v>
      </c>
      <c r="AL105" s="57">
        <f>Table1[[#This Row],[FTE Salaried - Non-Editorial]]+Table1[[#This Row],[FTE Contractors - Non-Editorial]]</f>
        <v>3.25</v>
      </c>
      <c r="AM105" s="56">
        <v>3</v>
      </c>
      <c r="AN105" s="56">
        <v>0.25</v>
      </c>
      <c r="AO105" s="80"/>
      <c r="AP105" s="80" t="s">
        <v>406</v>
      </c>
      <c r="AQ105" s="73" t="s">
        <v>406</v>
      </c>
      <c r="AR105" s="73" t="s">
        <v>406</v>
      </c>
      <c r="AS105" s="73" t="s">
        <v>406</v>
      </c>
      <c r="AT105" s="73" t="s">
        <v>406</v>
      </c>
      <c r="AU105" s="73" t="s">
        <v>406</v>
      </c>
      <c r="AV105" s="80" t="s">
        <v>406</v>
      </c>
    </row>
    <row r="106" spans="1:75" s="69" customFormat="1" x14ac:dyDescent="0.25">
      <c r="A106" s="83" t="s">
        <v>586</v>
      </c>
      <c r="B106" s="83"/>
      <c r="C106" s="83" t="s">
        <v>83</v>
      </c>
      <c r="D106" s="83" t="s">
        <v>78</v>
      </c>
      <c r="E106" s="54" t="str">
        <f>_xlfn.CONCAT(Table1[[#This Row],[Geographic Scope]],": ",Table1[[#This Row],[Sub-Type/Focus]])</f>
        <v>State: Multiple Related Topics</v>
      </c>
      <c r="F106" s="55">
        <f>Table1[[#This Row],[Total Contributed Income]]+Table1[[#This Row],[Total Earned Income]]</f>
        <v>0</v>
      </c>
      <c r="G106" s="84">
        <f>IFERROR((Table1[[#This Row],[Cont. Income - Foundation]]+Table1[[#This Row],[Cont. Income - Membership]]+Table1[[#This Row],[Cont. Income - Small Donors]]+Table1[[#This Row],[Cont. Income - Med. Donors]]+Table1[[#This Row],[Cont. Income - Major Donors]]+Table1[[#This Row],[Cont. Income - Other]]),0)</f>
        <v>0</v>
      </c>
      <c r="H106" s="84">
        <f>IFERROR((Table1[[#This Row],[Earned Income - Advertising]]+Table1[[#This Row],[Earned Income - Sponsorships/Underwriting]]+Table1[[#This Row],[Earned Income - Events]]+Table1[[#This Row],[Earned Income - Subscriptions]]+Table1[[#This Row],[Earned Income - Syndication]]+Table1[[#This Row],[Earned Income - Other TOTAL]]),0)</f>
        <v>0</v>
      </c>
      <c r="I106" s="71" t="s">
        <v>406</v>
      </c>
      <c r="J106" s="71" t="s">
        <v>406</v>
      </c>
      <c r="K106" s="71" t="s">
        <v>406</v>
      </c>
      <c r="L106" s="71" t="s">
        <v>406</v>
      </c>
      <c r="M106" s="71" t="s">
        <v>406</v>
      </c>
      <c r="N106" s="71" t="s">
        <v>406</v>
      </c>
      <c r="O106" s="76" t="s">
        <v>406</v>
      </c>
      <c r="P106" s="71" t="s">
        <v>406</v>
      </c>
      <c r="Q106" s="71" t="s">
        <v>406</v>
      </c>
      <c r="R106" s="71" t="s">
        <v>406</v>
      </c>
      <c r="S106" s="71" t="s">
        <v>406</v>
      </c>
      <c r="T106" s="71" t="s">
        <v>406</v>
      </c>
      <c r="U106" s="85">
        <f>IFERROR(Table1[[#This Row],[Earned Income - Training Fees]]+Table1[[#This Row],[Earned Income - Fees]]+Table1[[#This Row],[Earned Income - Investments]]+Table1[[#This Row],[Earned Income - Other]],0)</f>
        <v>0</v>
      </c>
      <c r="V106" s="71" t="s">
        <v>406</v>
      </c>
      <c r="W106" s="71" t="s">
        <v>406</v>
      </c>
      <c r="X106" s="83" t="s">
        <v>406</v>
      </c>
      <c r="Y106" s="71" t="s">
        <v>406</v>
      </c>
      <c r="Z106" s="71" t="s">
        <v>406</v>
      </c>
      <c r="AA106" s="83" t="s">
        <v>406</v>
      </c>
      <c r="AB106" s="85">
        <f t="shared" si="3"/>
        <v>0</v>
      </c>
      <c r="AC106" s="71" t="s">
        <v>406</v>
      </c>
      <c r="AD106" s="85">
        <f>SUM(Table1[[#This Row],[Expenses - Revenue Generation]:[Expenses - Admin]])</f>
        <v>0</v>
      </c>
      <c r="AE106" s="71" t="s">
        <v>406</v>
      </c>
      <c r="AF106" s="71" t="s">
        <v>406</v>
      </c>
      <c r="AG106" s="71" t="s">
        <v>406</v>
      </c>
      <c r="AH106" s="72">
        <f>Table1[[#This Row],[Total FTE - Editorial]]+Table1[[#This Row],[Total FTE - Non-Editorial]]</f>
        <v>2</v>
      </c>
      <c r="AI106" s="72">
        <f>Table1[[#This Row],[FTE Salaried - Editorial]]+Table1[[#This Row],[FTE Contractors - Editorial]]</f>
        <v>2</v>
      </c>
      <c r="AJ106" s="56">
        <v>2</v>
      </c>
      <c r="AK106" s="56">
        <v>0</v>
      </c>
      <c r="AL106" s="57">
        <f>Table1[[#This Row],[FTE Salaried - Non-Editorial]]+Table1[[#This Row],[FTE Contractors - Non-Editorial]]</f>
        <v>0</v>
      </c>
      <c r="AM106" s="56">
        <v>0</v>
      </c>
      <c r="AN106" s="56">
        <v>0</v>
      </c>
      <c r="AO106" s="83" t="s">
        <v>342</v>
      </c>
      <c r="AP106" s="83" t="s">
        <v>587</v>
      </c>
      <c r="AQ106" s="73">
        <v>0</v>
      </c>
      <c r="AR106" s="73">
        <v>0</v>
      </c>
      <c r="AS106" s="73">
        <v>0</v>
      </c>
      <c r="AT106" s="73">
        <v>0</v>
      </c>
      <c r="AU106" s="73">
        <v>0</v>
      </c>
      <c r="AV106" s="83" t="s">
        <v>406</v>
      </c>
    </row>
    <row r="107" spans="1:75" s="69" customFormat="1" x14ac:dyDescent="0.25">
      <c r="A107" s="83" t="s">
        <v>588</v>
      </c>
      <c r="B107" s="83"/>
      <c r="C107" s="83" t="s">
        <v>378</v>
      </c>
      <c r="D107" s="83" t="s">
        <v>79</v>
      </c>
      <c r="E107" s="54" t="str">
        <f>_xlfn.CONCAT(Table1[[#This Row],[Geographic Scope]],": ",Table1[[#This Row],[Sub-Type/Focus]])</f>
        <v>Regional: Single-Topic</v>
      </c>
      <c r="F107" s="55">
        <f>Table1[[#This Row],[Total Contributed Income]]+Table1[[#This Row],[Total Earned Income]]</f>
        <v>108499.06</v>
      </c>
      <c r="G107" s="84">
        <f>IFERROR((Table1[[#This Row],[Cont. Income - Foundation]]+Table1[[#This Row],[Cont. Income - Membership]]+Table1[[#This Row],[Cont. Income - Small Donors]]+Table1[[#This Row],[Cont. Income - Med. Donors]]+Table1[[#This Row],[Cont. Income - Major Donors]]+Table1[[#This Row],[Cont. Income - Other]]),0)</f>
        <v>106299.06</v>
      </c>
      <c r="H107" s="84">
        <f>IFERROR((Table1[[#This Row],[Earned Income - Advertising]]+Table1[[#This Row],[Earned Income - Sponsorships/Underwriting]]+Table1[[#This Row],[Earned Income - Events]]+Table1[[#This Row],[Earned Income - Subscriptions]]+Table1[[#This Row],[Earned Income - Syndication]]+Table1[[#This Row],[Earned Income - Other TOTAL]]),0)</f>
        <v>2200</v>
      </c>
      <c r="I107" s="71">
        <v>96000</v>
      </c>
      <c r="J107" s="71">
        <v>0</v>
      </c>
      <c r="K107" s="71">
        <v>10299.06</v>
      </c>
      <c r="L107" s="71">
        <v>0</v>
      </c>
      <c r="M107" s="71">
        <v>0</v>
      </c>
      <c r="N107" s="71">
        <v>0</v>
      </c>
      <c r="O107" s="76" t="s">
        <v>406</v>
      </c>
      <c r="P107" s="71">
        <v>0</v>
      </c>
      <c r="Q107" s="71">
        <v>0</v>
      </c>
      <c r="R107" s="71">
        <v>0</v>
      </c>
      <c r="S107" s="71">
        <v>0</v>
      </c>
      <c r="T107" s="71">
        <v>0</v>
      </c>
      <c r="U107" s="85">
        <f>IFERROR(Table1[[#This Row],[Earned Income - Training Fees]]+Table1[[#This Row],[Earned Income - Fees]]+Table1[[#This Row],[Earned Income - Investments]]+Table1[[#This Row],[Earned Income - Other]],0)</f>
        <v>2200</v>
      </c>
      <c r="V107" s="71">
        <v>0</v>
      </c>
      <c r="W107" s="71">
        <v>2200</v>
      </c>
      <c r="X107" s="83" t="s">
        <v>589</v>
      </c>
      <c r="Y107" s="71">
        <v>0</v>
      </c>
      <c r="Z107" s="71">
        <v>0</v>
      </c>
      <c r="AA107" s="83" t="s">
        <v>406</v>
      </c>
      <c r="AB107" s="85">
        <f t="shared" si="3"/>
        <v>43259.820000000007</v>
      </c>
      <c r="AC107" s="71">
        <v>36472.730000000003</v>
      </c>
      <c r="AD107" s="85">
        <f>SUM(Table1[[#This Row],[Expenses - Revenue Generation]:[Expenses - Admin]])</f>
        <v>6787.09</v>
      </c>
      <c r="AE107" s="71">
        <v>0</v>
      </c>
      <c r="AF107" s="71">
        <v>0</v>
      </c>
      <c r="AG107" s="71">
        <v>6787.09</v>
      </c>
      <c r="AH107" s="72">
        <f>Table1[[#This Row],[Total FTE - Editorial]]+Table1[[#This Row],[Total FTE - Non-Editorial]]</f>
        <v>2.5</v>
      </c>
      <c r="AI107" s="72">
        <f>Table1[[#This Row],[FTE Salaried - Editorial]]+Table1[[#This Row],[FTE Contractors - Editorial]]</f>
        <v>2.5</v>
      </c>
      <c r="AJ107" s="56">
        <v>0</v>
      </c>
      <c r="AK107" s="56">
        <v>2.5</v>
      </c>
      <c r="AL107" s="57">
        <f>Table1[[#This Row],[FTE Salaried - Non-Editorial]]+Table1[[#This Row],[FTE Contractors - Non-Editorial]]</f>
        <v>0</v>
      </c>
      <c r="AM107" s="56">
        <v>0</v>
      </c>
      <c r="AN107" s="56">
        <v>0</v>
      </c>
      <c r="AO107" s="83" t="s">
        <v>342</v>
      </c>
      <c r="AP107" s="83" t="s">
        <v>406</v>
      </c>
      <c r="AQ107" s="73">
        <v>1600</v>
      </c>
      <c r="AR107" s="73">
        <v>430</v>
      </c>
      <c r="AS107" s="73">
        <v>0</v>
      </c>
      <c r="AT107" s="73">
        <v>0</v>
      </c>
      <c r="AU107" s="73">
        <v>0</v>
      </c>
      <c r="AV107" s="83" t="s">
        <v>406</v>
      </c>
    </row>
    <row r="108" spans="1:75" s="69" customFormat="1" x14ac:dyDescent="0.25">
      <c r="A108" s="83" t="s">
        <v>590</v>
      </c>
      <c r="B108" s="83"/>
      <c r="C108" s="80" t="s">
        <v>7</v>
      </c>
      <c r="D108" s="83" t="s">
        <v>78</v>
      </c>
      <c r="E108" s="54" t="str">
        <f>_xlfn.CONCAT(Table1[[#This Row],[Geographic Scope]],": ",Table1[[#This Row],[Sub-Type/Focus]])</f>
        <v>Local: Multiple Related Topics</v>
      </c>
      <c r="F108" s="55">
        <f>Table1[[#This Row],[Total Contributed Income]]+Table1[[#This Row],[Total Earned Income]]</f>
        <v>0</v>
      </c>
      <c r="G108" s="84">
        <f>IFERROR((Table1[[#This Row],[Cont. Income - Foundation]]+Table1[[#This Row],[Cont. Income - Membership]]+Table1[[#This Row],[Cont. Income - Small Donors]]+Table1[[#This Row],[Cont. Income - Med. Donors]]+Table1[[#This Row],[Cont. Income - Major Donors]]+Table1[[#This Row],[Cont. Income - Other]]),0)</f>
        <v>0</v>
      </c>
      <c r="H108" s="84">
        <f>IFERROR((Table1[[#This Row],[Earned Income - Advertising]]+Table1[[#This Row],[Earned Income - Sponsorships/Underwriting]]+Table1[[#This Row],[Earned Income - Events]]+Table1[[#This Row],[Earned Income - Subscriptions]]+Table1[[#This Row],[Earned Income - Syndication]]+Table1[[#This Row],[Earned Income - Other TOTAL]]),0)</f>
        <v>0</v>
      </c>
      <c r="I108" s="71" t="s">
        <v>406</v>
      </c>
      <c r="J108" s="71" t="s">
        <v>406</v>
      </c>
      <c r="K108" s="71" t="s">
        <v>406</v>
      </c>
      <c r="L108" s="71" t="s">
        <v>406</v>
      </c>
      <c r="M108" s="71" t="s">
        <v>406</v>
      </c>
      <c r="N108" s="71" t="s">
        <v>406</v>
      </c>
      <c r="O108" s="76" t="s">
        <v>406</v>
      </c>
      <c r="P108" s="71" t="s">
        <v>406</v>
      </c>
      <c r="Q108" s="71" t="s">
        <v>406</v>
      </c>
      <c r="R108" s="71" t="s">
        <v>406</v>
      </c>
      <c r="S108" s="71" t="s">
        <v>406</v>
      </c>
      <c r="T108" s="71" t="s">
        <v>406</v>
      </c>
      <c r="U108" s="85">
        <f>IFERROR(Table1[[#This Row],[Earned Income - Training Fees]]+Table1[[#This Row],[Earned Income - Fees]]+Table1[[#This Row],[Earned Income - Investments]]+Table1[[#This Row],[Earned Income - Other]],0)</f>
        <v>0</v>
      </c>
      <c r="V108" s="71" t="s">
        <v>406</v>
      </c>
      <c r="W108" s="71" t="s">
        <v>406</v>
      </c>
      <c r="X108" s="83" t="s">
        <v>406</v>
      </c>
      <c r="Y108" s="71" t="s">
        <v>406</v>
      </c>
      <c r="Z108" s="71" t="s">
        <v>406</v>
      </c>
      <c r="AA108" s="83" t="s">
        <v>406</v>
      </c>
      <c r="AB108" s="85">
        <f t="shared" si="3"/>
        <v>0</v>
      </c>
      <c r="AC108" s="71" t="s">
        <v>406</v>
      </c>
      <c r="AD108" s="85">
        <f>SUM(Table1[[#This Row],[Expenses - Revenue Generation]:[Expenses - Admin]])</f>
        <v>0</v>
      </c>
      <c r="AE108" s="71" t="s">
        <v>406</v>
      </c>
      <c r="AF108" s="71" t="s">
        <v>406</v>
      </c>
      <c r="AG108" s="71" t="s">
        <v>406</v>
      </c>
      <c r="AH108" s="72">
        <f>Table1[[#This Row],[Total FTE - Editorial]]+Table1[[#This Row],[Total FTE - Non-Editorial]]</f>
        <v>1</v>
      </c>
      <c r="AI108" s="72">
        <f>Table1[[#This Row],[FTE Salaried - Editorial]]+Table1[[#This Row],[FTE Contractors - Editorial]]</f>
        <v>1</v>
      </c>
      <c r="AJ108" s="56">
        <v>0</v>
      </c>
      <c r="AK108" s="56">
        <v>1</v>
      </c>
      <c r="AL108" s="57">
        <f>Table1[[#This Row],[FTE Salaried - Non-Editorial]]+Table1[[#This Row],[FTE Contractors - Non-Editorial]]</f>
        <v>0</v>
      </c>
      <c r="AM108" s="56">
        <v>0</v>
      </c>
      <c r="AN108" s="56">
        <v>0</v>
      </c>
      <c r="AO108" s="83" t="s">
        <v>342</v>
      </c>
      <c r="AP108" s="83" t="s">
        <v>406</v>
      </c>
      <c r="AQ108" s="73">
        <v>2512</v>
      </c>
      <c r="AR108" s="73">
        <v>48</v>
      </c>
      <c r="AS108" s="73">
        <v>0</v>
      </c>
      <c r="AT108" s="73">
        <v>0</v>
      </c>
      <c r="AU108" s="73">
        <v>0</v>
      </c>
      <c r="AV108" s="83" t="s">
        <v>406</v>
      </c>
    </row>
    <row r="109" spans="1:75" s="69" customFormat="1" x14ac:dyDescent="0.25">
      <c r="A109" s="83" t="s">
        <v>591</v>
      </c>
      <c r="B109" s="83"/>
      <c r="C109" s="83" t="s">
        <v>7</v>
      </c>
      <c r="D109" s="83" t="s">
        <v>77</v>
      </c>
      <c r="E109" s="54" t="str">
        <f>_xlfn.CONCAT(Table1[[#This Row],[Geographic Scope]],": ",Table1[[#This Row],[Sub-Type/Focus]])</f>
        <v>Local: General</v>
      </c>
      <c r="F109" s="55">
        <f>Table1[[#This Row],[Total Contributed Income]]+Table1[[#This Row],[Total Earned Income]]</f>
        <v>116632</v>
      </c>
      <c r="G109" s="84">
        <f>IFERROR((Table1[[#This Row],[Cont. Income - Foundation]]+Table1[[#This Row],[Cont. Income - Membership]]+Table1[[#This Row],[Cont. Income - Small Donors]]+Table1[[#This Row],[Cont. Income - Med. Donors]]+Table1[[#This Row],[Cont. Income - Major Donors]]+Table1[[#This Row],[Cont. Income - Other]]),0)</f>
        <v>115607</v>
      </c>
      <c r="H109" s="84">
        <f>IFERROR((Table1[[#This Row],[Earned Income - Advertising]]+Table1[[#This Row],[Earned Income - Sponsorships/Underwriting]]+Table1[[#This Row],[Earned Income - Events]]+Table1[[#This Row],[Earned Income - Subscriptions]]+Table1[[#This Row],[Earned Income - Syndication]]+Table1[[#This Row],[Earned Income - Other TOTAL]]),0)</f>
        <v>1025</v>
      </c>
      <c r="I109" s="71">
        <v>13750</v>
      </c>
      <c r="J109" s="71">
        <v>0</v>
      </c>
      <c r="K109" s="71">
        <v>44857</v>
      </c>
      <c r="L109" s="71">
        <v>32000</v>
      </c>
      <c r="M109" s="71">
        <v>25000</v>
      </c>
      <c r="N109" s="71">
        <v>0</v>
      </c>
      <c r="O109" s="76" t="s">
        <v>406</v>
      </c>
      <c r="P109" s="71">
        <v>1000</v>
      </c>
      <c r="Q109" s="71">
        <v>0</v>
      </c>
      <c r="R109" s="71">
        <v>0</v>
      </c>
      <c r="S109" s="71">
        <v>0</v>
      </c>
      <c r="T109" s="71">
        <v>0</v>
      </c>
      <c r="U109" s="85">
        <f>IFERROR(Table1[[#This Row],[Earned Income - Training Fees]]+Table1[[#This Row],[Earned Income - Fees]]+Table1[[#This Row],[Earned Income - Investments]]+Table1[[#This Row],[Earned Income - Other]],0)</f>
        <v>25</v>
      </c>
      <c r="V109" s="71">
        <v>0</v>
      </c>
      <c r="W109" s="71">
        <v>0</v>
      </c>
      <c r="X109" s="83" t="s">
        <v>406</v>
      </c>
      <c r="Y109" s="71">
        <v>0</v>
      </c>
      <c r="Z109" s="71">
        <v>25</v>
      </c>
      <c r="AA109" s="83" t="s">
        <v>592</v>
      </c>
      <c r="AB109" s="85">
        <f t="shared" si="3"/>
        <v>121811</v>
      </c>
      <c r="AC109" s="71">
        <v>69682</v>
      </c>
      <c r="AD109" s="85">
        <f>SUM(Table1[[#This Row],[Expenses - Revenue Generation]:[Expenses - Admin]])</f>
        <v>52129</v>
      </c>
      <c r="AE109" s="71">
        <v>10298</v>
      </c>
      <c r="AF109" s="71">
        <v>662</v>
      </c>
      <c r="AG109" s="71">
        <v>41169</v>
      </c>
      <c r="AH109" s="72">
        <f>Table1[[#This Row],[Total FTE - Editorial]]+Table1[[#This Row],[Total FTE - Non-Editorial]]</f>
        <v>6</v>
      </c>
      <c r="AI109" s="72">
        <f>Table1[[#This Row],[FTE Salaried - Editorial]]+Table1[[#This Row],[FTE Contractors - Editorial]]</f>
        <v>6</v>
      </c>
      <c r="AJ109" s="56">
        <v>3</v>
      </c>
      <c r="AK109" s="56">
        <v>3</v>
      </c>
      <c r="AL109" s="57">
        <f>Table1[[#This Row],[FTE Salaried - Non-Editorial]]+Table1[[#This Row],[FTE Contractors - Non-Editorial]]</f>
        <v>0</v>
      </c>
      <c r="AM109" s="56">
        <v>0</v>
      </c>
      <c r="AN109" s="56">
        <v>0</v>
      </c>
      <c r="AO109" s="83" t="s">
        <v>342</v>
      </c>
      <c r="AP109" s="83" t="s">
        <v>406</v>
      </c>
      <c r="AQ109" s="73">
        <v>2300</v>
      </c>
      <c r="AR109" s="73">
        <v>750</v>
      </c>
      <c r="AS109" s="73">
        <v>0</v>
      </c>
      <c r="AT109" s="73">
        <v>0</v>
      </c>
      <c r="AU109" s="73">
        <v>0</v>
      </c>
      <c r="AV109" s="83" t="s">
        <v>406</v>
      </c>
    </row>
  </sheetData>
  <pageMargins left="0.7" right="0.7" top="0.75" bottom="0.75" header="0.3" footer="0.3"/>
  <pageSetup orientation="portrait" horizontalDpi="1200" verticalDpi="1200"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3FBF9FE4-66EE-4937-B3CC-F1CD911E7C9C}">
          <x14:formula1>
            <xm:f>'Dropdown Menus'!$C$2:$C$6</xm:f>
          </x14:formula1>
          <xm:sqref>C2:C109</xm:sqref>
        </x14:dataValidation>
        <x14:dataValidation type="list" allowBlank="1" showInputMessage="1" showErrorMessage="1" xr:uid="{15B250C0-E263-4314-9051-A3EDE38DCF33}">
          <x14:formula1>
            <xm:f>'Dropdown Menus'!$H$2:$H$9</xm:f>
          </x14:formula1>
          <xm:sqref>AO2:AO109</xm:sqref>
        </x14:dataValidation>
        <x14:dataValidation type="list" allowBlank="1" showInputMessage="1" showErrorMessage="1" xr:uid="{FB9F35A5-2217-466E-B5FC-6751D3AFD7F2}">
          <x14:formula1>
            <xm:f>'Dropdown Menus'!$D$2:$D$5</xm:f>
          </x14:formula1>
          <xm:sqref>D2:D109</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45115-1B2F-4DA1-84BA-0881CF75135A}">
  <sheetPr>
    <tabColor theme="5" tint="0.39997558519241921"/>
  </sheetPr>
  <dimension ref="A1:N37"/>
  <sheetViews>
    <sheetView view="pageBreakPreview" zoomScale="145" zoomScaleNormal="115" zoomScaleSheetLayoutView="145" workbookViewId="0">
      <selection activeCell="A2" sqref="A2:A9"/>
    </sheetView>
  </sheetViews>
  <sheetFormatPr defaultColWidth="9.140625" defaultRowHeight="12" x14ac:dyDescent="0.2"/>
  <cols>
    <col min="1" max="1" width="20.42578125" style="134" customWidth="1"/>
    <col min="2" max="2" width="14.85546875" style="134" customWidth="1"/>
    <col min="3" max="3" width="9.42578125" style="134" bestFit="1" customWidth="1"/>
    <col min="4" max="4" width="9.85546875" style="134" bestFit="1" customWidth="1"/>
    <col min="5" max="6" width="12.140625" style="134" customWidth="1"/>
    <col min="7" max="12" width="16.7109375" style="134" customWidth="1"/>
    <col min="13" max="16384" width="9.140625" style="134"/>
  </cols>
  <sheetData>
    <row r="1" spans="1:14" ht="36" x14ac:dyDescent="0.2">
      <c r="A1" s="133" t="s">
        <v>593</v>
      </c>
      <c r="B1" s="133"/>
      <c r="C1" s="133" t="s">
        <v>594</v>
      </c>
      <c r="D1" s="274"/>
      <c r="E1" s="270"/>
      <c r="F1" s="270"/>
      <c r="G1" s="270"/>
      <c r="H1" s="270" t="s">
        <v>595</v>
      </c>
      <c r="I1" s="270" t="s">
        <v>596</v>
      </c>
      <c r="J1" s="270" t="s">
        <v>597</v>
      </c>
      <c r="K1" s="270"/>
      <c r="L1" s="270"/>
      <c r="M1" s="270"/>
      <c r="N1" s="270" t="s">
        <v>598</v>
      </c>
    </row>
    <row r="2" spans="1:14" x14ac:dyDescent="0.2">
      <c r="B2" s="271"/>
      <c r="C2" s="134" t="s">
        <v>62</v>
      </c>
      <c r="D2" s="136"/>
      <c r="E2" s="203"/>
      <c r="F2" s="273"/>
      <c r="G2" s="272"/>
      <c r="H2" s="272">
        <f t="shared" ref="H2:H8" si="0">SUM(I2:L2)</f>
        <v>786157.5</v>
      </c>
      <c r="I2" s="194">
        <v>497469</v>
      </c>
      <c r="J2" s="253">
        <v>288688.5</v>
      </c>
      <c r="K2" s="194"/>
      <c r="L2" s="194"/>
      <c r="M2" s="136"/>
      <c r="N2" s="136">
        <v>11.109035615939426</v>
      </c>
    </row>
    <row r="3" spans="1:14" x14ac:dyDescent="0.2">
      <c r="B3" s="271"/>
      <c r="C3" s="134" t="s">
        <v>62</v>
      </c>
      <c r="D3" s="136"/>
      <c r="E3" s="203"/>
      <c r="F3" s="273"/>
      <c r="G3" s="272"/>
      <c r="H3" s="272">
        <f t="shared" si="0"/>
        <v>786157.5</v>
      </c>
      <c r="I3" s="194">
        <v>497469</v>
      </c>
      <c r="J3" s="253">
        <v>288688.5</v>
      </c>
      <c r="K3" s="194"/>
      <c r="L3" s="194"/>
      <c r="M3" s="136"/>
      <c r="N3" s="136">
        <v>11.109035615939426</v>
      </c>
    </row>
    <row r="4" spans="1:14" x14ac:dyDescent="0.2">
      <c r="B4" s="271"/>
      <c r="C4" s="134" t="s">
        <v>63</v>
      </c>
      <c r="D4" s="136"/>
      <c r="E4" s="203"/>
      <c r="F4" s="273"/>
      <c r="G4" s="272"/>
      <c r="H4" s="272">
        <f t="shared" si="0"/>
        <v>3398306.5</v>
      </c>
      <c r="I4" s="194">
        <v>2467649.5</v>
      </c>
      <c r="J4" s="253">
        <v>930657</v>
      </c>
      <c r="K4" s="194"/>
      <c r="L4" s="194"/>
      <c r="M4" s="136"/>
      <c r="N4" s="136">
        <v>26.031380976035372</v>
      </c>
    </row>
    <row r="5" spans="1:14" x14ac:dyDescent="0.2">
      <c r="B5" s="271"/>
      <c r="C5" s="134" t="s">
        <v>63</v>
      </c>
      <c r="D5" s="136"/>
      <c r="E5" s="203"/>
      <c r="F5" s="273"/>
      <c r="G5" s="272"/>
      <c r="H5" s="272">
        <f t="shared" si="0"/>
        <v>3398306.5</v>
      </c>
      <c r="I5" s="194">
        <v>2467649.5</v>
      </c>
      <c r="J5" s="253">
        <v>930657</v>
      </c>
      <c r="K5" s="194"/>
      <c r="L5" s="194"/>
      <c r="M5" s="136"/>
      <c r="N5" s="136">
        <v>26.031380976035372</v>
      </c>
    </row>
    <row r="6" spans="1:14" x14ac:dyDescent="0.2">
      <c r="B6" s="271"/>
      <c r="C6" s="134" t="s">
        <v>63</v>
      </c>
      <c r="D6" s="136"/>
      <c r="E6" s="203"/>
      <c r="F6" s="273"/>
      <c r="G6" s="272"/>
      <c r="H6" s="272">
        <f t="shared" si="0"/>
        <v>3398306.5</v>
      </c>
      <c r="I6" s="194">
        <v>2467649.5</v>
      </c>
      <c r="J6" s="253">
        <v>930657</v>
      </c>
      <c r="K6" s="194"/>
      <c r="L6" s="194"/>
      <c r="M6" s="136"/>
      <c r="N6" s="136">
        <v>26.031380976035372</v>
      </c>
    </row>
    <row r="7" spans="1:14" x14ac:dyDescent="0.2">
      <c r="B7" s="271"/>
      <c r="C7" s="134" t="s">
        <v>63</v>
      </c>
      <c r="D7" s="136"/>
      <c r="E7" s="203"/>
      <c r="F7" s="273"/>
      <c r="G7" s="272"/>
      <c r="H7" s="272">
        <f t="shared" si="0"/>
        <v>3398306.5</v>
      </c>
      <c r="I7" s="194">
        <v>2467649.5</v>
      </c>
      <c r="J7" s="253">
        <v>930657</v>
      </c>
      <c r="K7" s="194"/>
      <c r="L7" s="194"/>
      <c r="M7" s="136"/>
      <c r="N7" s="136">
        <v>26.031380976035372</v>
      </c>
    </row>
    <row r="8" spans="1:14" x14ac:dyDescent="0.2">
      <c r="B8" s="271"/>
      <c r="C8" s="134" t="s">
        <v>64</v>
      </c>
      <c r="D8" s="136"/>
      <c r="E8" s="203"/>
      <c r="F8" s="273"/>
      <c r="G8" s="272"/>
      <c r="H8" s="272">
        <f t="shared" si="0"/>
        <v>4733570.5</v>
      </c>
      <c r="I8" s="194">
        <f>3736337+213632</f>
        <v>3949969</v>
      </c>
      <c r="J8" s="253">
        <v>783601.5</v>
      </c>
      <c r="K8" s="194"/>
      <c r="L8" s="194"/>
      <c r="M8" s="136"/>
      <c r="N8" s="136">
        <v>31.324095044142645</v>
      </c>
    </row>
    <row r="9" spans="1:14" x14ac:dyDescent="0.2">
      <c r="B9" s="271"/>
      <c r="C9" s="134" t="s">
        <v>64</v>
      </c>
      <c r="D9" s="136"/>
      <c r="E9" s="203"/>
      <c r="F9" s="273"/>
      <c r="G9" s="272"/>
      <c r="H9" s="275">
        <v>4733570.5</v>
      </c>
      <c r="I9" s="194"/>
      <c r="J9" s="253">
        <v>783601.5</v>
      </c>
      <c r="K9" s="194"/>
      <c r="L9" s="194"/>
      <c r="M9" s="136"/>
      <c r="N9" s="136">
        <v>31.324095044142645</v>
      </c>
    </row>
    <row r="10" spans="1:14" x14ac:dyDescent="0.2">
      <c r="M10" s="136"/>
    </row>
    <row r="30" spans="11:11" x14ac:dyDescent="0.2">
      <c r="K30" s="371"/>
    </row>
    <row r="31" spans="11:11" x14ac:dyDescent="0.2">
      <c r="K31" s="371"/>
    </row>
    <row r="32" spans="11:11" x14ac:dyDescent="0.2">
      <c r="K32" s="371"/>
    </row>
    <row r="33" spans="11:11" x14ac:dyDescent="0.2">
      <c r="K33" s="371"/>
    </row>
    <row r="34" spans="11:11" x14ac:dyDescent="0.2">
      <c r="K34" s="371"/>
    </row>
    <row r="35" spans="11:11" x14ac:dyDescent="0.2">
      <c r="K35" s="371"/>
    </row>
    <row r="36" spans="11:11" x14ac:dyDescent="0.2">
      <c r="K36" s="371"/>
    </row>
    <row r="37" spans="11:11" x14ac:dyDescent="0.2">
      <c r="K37" s="371"/>
    </row>
  </sheetData>
  <mergeCells count="3">
    <mergeCell ref="K30:K31"/>
    <mergeCell ref="K32:K35"/>
    <mergeCell ref="K36:K37"/>
  </mergeCells>
  <pageMargins left="0.7" right="0.7" top="0.75" bottom="0.75" header="0.3" footer="0.3"/>
  <pageSetup scale="4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084A7-606A-4C5E-934B-6757D0978B70}">
  <sheetPr>
    <tabColor theme="0"/>
  </sheetPr>
  <dimension ref="A1:D48"/>
  <sheetViews>
    <sheetView tabSelected="1" topLeftCell="A4" zoomScale="130" zoomScaleNormal="130" zoomScaleSheetLayoutView="145" workbookViewId="0">
      <pane ySplit="10" topLeftCell="A14" activePane="bottomLeft" state="frozen"/>
      <selection activeCell="A4" sqref="A4"/>
      <selection pane="bottomLeft" activeCell="B8" sqref="B8"/>
    </sheetView>
  </sheetViews>
  <sheetFormatPr defaultColWidth="9.140625" defaultRowHeight="12" x14ac:dyDescent="0.2"/>
  <cols>
    <col min="1" max="1" width="23.28515625" style="134" customWidth="1"/>
    <col min="2" max="2" width="42.5703125" style="134" bestFit="1" customWidth="1"/>
    <col min="3" max="3" width="46.42578125" style="134" bestFit="1" customWidth="1"/>
    <col min="4" max="4" width="54.42578125" style="134" customWidth="1"/>
    <col min="5" max="16384" width="9.140625" style="134"/>
  </cols>
  <sheetData>
    <row r="1" spans="1:4" x14ac:dyDescent="0.2">
      <c r="A1" s="133" t="s">
        <v>0</v>
      </c>
      <c r="B1" s="210"/>
    </row>
    <row r="2" spans="1:4" x14ac:dyDescent="0.2">
      <c r="A2" s="133" t="s">
        <v>2</v>
      </c>
    </row>
    <row r="3" spans="1:4" x14ac:dyDescent="0.2">
      <c r="A3" s="135" t="s">
        <v>843</v>
      </c>
    </row>
    <row r="4" spans="1:4" x14ac:dyDescent="0.2">
      <c r="A4" s="154" t="s">
        <v>896</v>
      </c>
    </row>
    <row r="5" spans="1:4" x14ac:dyDescent="0.2">
      <c r="A5" s="154"/>
    </row>
    <row r="6" spans="1:4" x14ac:dyDescent="0.2">
      <c r="A6" s="154" t="s">
        <v>942</v>
      </c>
    </row>
    <row r="8" spans="1:4" x14ac:dyDescent="0.2">
      <c r="A8" s="133" t="s">
        <v>21</v>
      </c>
    </row>
    <row r="9" spans="1:4" x14ac:dyDescent="0.2">
      <c r="A9" s="133" t="s">
        <v>30</v>
      </c>
    </row>
    <row r="10" spans="1:4" x14ac:dyDescent="0.2">
      <c r="A10" s="133" t="s">
        <v>31</v>
      </c>
    </row>
    <row r="11" spans="1:4" x14ac:dyDescent="0.2">
      <c r="A11" s="133"/>
    </row>
    <row r="12" spans="1:4" x14ac:dyDescent="0.2">
      <c r="A12" s="133" t="s">
        <v>22</v>
      </c>
    </row>
    <row r="13" spans="1:4" x14ac:dyDescent="0.2">
      <c r="A13" s="364" t="s">
        <v>23</v>
      </c>
      <c r="B13" s="365" t="s">
        <v>24</v>
      </c>
      <c r="C13" s="365" t="s">
        <v>857</v>
      </c>
      <c r="D13" s="366" t="s">
        <v>802</v>
      </c>
    </row>
    <row r="14" spans="1:4" ht="24" x14ac:dyDescent="0.2">
      <c r="A14" s="367" t="s">
        <v>29</v>
      </c>
      <c r="B14" s="357" t="s">
        <v>858</v>
      </c>
      <c r="C14" s="358" t="s">
        <v>889</v>
      </c>
      <c r="D14" s="363"/>
    </row>
    <row r="15" spans="1:4" ht="15.75" customHeight="1" x14ac:dyDescent="0.2">
      <c r="A15" s="369"/>
      <c r="B15" s="368"/>
      <c r="C15" s="368"/>
      <c r="D15" s="370"/>
    </row>
    <row r="16" spans="1:4" ht="48" x14ac:dyDescent="0.2">
      <c r="A16" s="367" t="s">
        <v>26</v>
      </c>
      <c r="B16" s="358" t="s">
        <v>859</v>
      </c>
      <c r="C16" s="358" t="s">
        <v>880</v>
      </c>
      <c r="D16" s="362" t="s">
        <v>854</v>
      </c>
    </row>
    <row r="17" spans="1:4" ht="36" x14ac:dyDescent="0.2">
      <c r="A17" s="359"/>
      <c r="B17" s="358"/>
      <c r="C17" s="358"/>
      <c r="D17" s="362" t="s">
        <v>855</v>
      </c>
    </row>
    <row r="18" spans="1:4" ht="24" x14ac:dyDescent="0.2">
      <c r="A18" s="359"/>
      <c r="B18" s="358"/>
      <c r="C18" s="358"/>
      <c r="D18" s="362" t="s">
        <v>853</v>
      </c>
    </row>
    <row r="19" spans="1:4" ht="36" x14ac:dyDescent="0.2">
      <c r="A19" s="359"/>
      <c r="B19" s="358"/>
      <c r="C19" s="358"/>
      <c r="D19" s="362" t="s">
        <v>856</v>
      </c>
    </row>
    <row r="20" spans="1:4" ht="4.5" customHeight="1" x14ac:dyDescent="0.2">
      <c r="A20" s="369"/>
      <c r="B20" s="368"/>
      <c r="C20" s="368"/>
      <c r="D20" s="370"/>
    </row>
    <row r="21" spans="1:4" ht="36" x14ac:dyDescent="0.2">
      <c r="A21" s="367" t="s">
        <v>27</v>
      </c>
      <c r="B21" s="358" t="s">
        <v>891</v>
      </c>
      <c r="C21" s="358" t="s">
        <v>871</v>
      </c>
      <c r="D21" s="362" t="s">
        <v>866</v>
      </c>
    </row>
    <row r="22" spans="1:4" ht="24" x14ac:dyDescent="0.2">
      <c r="A22" s="359"/>
      <c r="B22" s="358"/>
      <c r="C22" s="358"/>
      <c r="D22" s="362" t="s">
        <v>867</v>
      </c>
    </row>
    <row r="23" spans="1:4" ht="24" x14ac:dyDescent="0.2">
      <c r="A23" s="359"/>
      <c r="B23" s="358"/>
      <c r="C23" s="358"/>
      <c r="D23" s="362" t="s">
        <v>868</v>
      </c>
    </row>
    <row r="24" spans="1:4" ht="24" x14ac:dyDescent="0.2">
      <c r="A24" s="359"/>
      <c r="B24" s="358"/>
      <c r="C24" s="358"/>
      <c r="D24" s="362" t="s">
        <v>869</v>
      </c>
    </row>
    <row r="25" spans="1:4" ht="36" x14ac:dyDescent="0.2">
      <c r="A25" s="359"/>
      <c r="B25" s="358"/>
      <c r="C25" s="358"/>
      <c r="D25" s="362" t="s">
        <v>870</v>
      </c>
    </row>
    <row r="26" spans="1:4" ht="36" x14ac:dyDescent="0.2">
      <c r="A26" s="359"/>
      <c r="B26" s="358"/>
      <c r="C26" s="358"/>
      <c r="D26" s="362" t="s">
        <v>855</v>
      </c>
    </row>
    <row r="27" spans="1:4" ht="15.75" customHeight="1" x14ac:dyDescent="0.2">
      <c r="A27" s="369"/>
      <c r="B27" s="368"/>
      <c r="C27" s="368"/>
      <c r="D27" s="370"/>
    </row>
    <row r="28" spans="1:4" ht="24" x14ac:dyDescent="0.2">
      <c r="A28" s="367" t="s">
        <v>28</v>
      </c>
      <c r="B28" s="357" t="s">
        <v>862</v>
      </c>
      <c r="C28" s="357" t="s">
        <v>860</v>
      </c>
      <c r="D28" s="362" t="s">
        <v>867</v>
      </c>
    </row>
    <row r="29" spans="1:4" ht="24" x14ac:dyDescent="0.2">
      <c r="A29" s="359"/>
      <c r="B29" s="357"/>
      <c r="C29" s="357"/>
      <c r="D29" s="362" t="s">
        <v>868</v>
      </c>
    </row>
    <row r="30" spans="1:4" ht="24" x14ac:dyDescent="0.2">
      <c r="A30" s="359"/>
      <c r="B30" s="357"/>
      <c r="C30" s="357"/>
      <c r="D30" s="362" t="s">
        <v>869</v>
      </c>
    </row>
    <row r="31" spans="1:4" ht="36" x14ac:dyDescent="0.2">
      <c r="A31" s="359"/>
      <c r="B31" s="357"/>
      <c r="C31" s="357"/>
      <c r="D31" s="362" t="s">
        <v>870</v>
      </c>
    </row>
    <row r="32" spans="1:4" ht="36" x14ac:dyDescent="0.2">
      <c r="A32" s="359"/>
      <c r="B32" s="357"/>
      <c r="C32" s="357"/>
      <c r="D32" s="362" t="s">
        <v>883</v>
      </c>
    </row>
    <row r="33" spans="1:4" ht="4.5" customHeight="1" x14ac:dyDescent="0.2">
      <c r="A33" s="369"/>
      <c r="B33" s="368"/>
      <c r="C33" s="368"/>
      <c r="D33" s="370"/>
    </row>
    <row r="34" spans="1:4" x14ac:dyDescent="0.2">
      <c r="A34" s="367" t="s">
        <v>872</v>
      </c>
      <c r="B34" s="357" t="s">
        <v>873</v>
      </c>
      <c r="C34" s="357" t="s">
        <v>874</v>
      </c>
      <c r="D34" s="193" t="s">
        <v>876</v>
      </c>
    </row>
    <row r="35" spans="1:4" x14ac:dyDescent="0.2">
      <c r="A35" s="359"/>
      <c r="B35" s="357"/>
      <c r="C35" s="357"/>
      <c r="D35" s="363" t="s">
        <v>877</v>
      </c>
    </row>
    <row r="36" spans="1:4" x14ac:dyDescent="0.2">
      <c r="A36" s="359"/>
      <c r="B36" s="357"/>
      <c r="C36" s="357"/>
      <c r="D36" s="363" t="s">
        <v>875</v>
      </c>
    </row>
    <row r="37" spans="1:4" ht="48" x14ac:dyDescent="0.2">
      <c r="A37" s="359"/>
      <c r="B37" s="357" t="s">
        <v>879</v>
      </c>
      <c r="C37" s="358" t="s">
        <v>881</v>
      </c>
      <c r="D37" s="362" t="s">
        <v>882</v>
      </c>
    </row>
    <row r="38" spans="1:4" ht="36" x14ac:dyDescent="0.2">
      <c r="A38" s="359"/>
      <c r="B38" s="357"/>
      <c r="C38" s="357"/>
      <c r="D38" s="362" t="s">
        <v>883</v>
      </c>
    </row>
    <row r="39" spans="1:4" ht="24" x14ac:dyDescent="0.2">
      <c r="A39" s="359"/>
      <c r="B39" s="357"/>
      <c r="C39" s="357"/>
      <c r="D39" s="362" t="s">
        <v>853</v>
      </c>
    </row>
    <row r="40" spans="1:4" ht="36" x14ac:dyDescent="0.2">
      <c r="A40" s="359"/>
      <c r="B40" s="357"/>
      <c r="C40" s="357"/>
      <c r="D40" s="362" t="s">
        <v>884</v>
      </c>
    </row>
    <row r="41" spans="1:4" ht="4.5" customHeight="1" x14ac:dyDescent="0.2">
      <c r="A41" s="369"/>
      <c r="B41" s="368"/>
      <c r="C41" s="368"/>
      <c r="D41" s="370"/>
    </row>
    <row r="42" spans="1:4" ht="48" x14ac:dyDescent="0.2">
      <c r="A42" s="367" t="s">
        <v>885</v>
      </c>
      <c r="B42" s="357" t="s">
        <v>886</v>
      </c>
      <c r="C42" s="358" t="s">
        <v>881</v>
      </c>
      <c r="D42" s="362" t="s">
        <v>882</v>
      </c>
    </row>
    <row r="43" spans="1:4" ht="36" x14ac:dyDescent="0.2">
      <c r="A43" s="359"/>
      <c r="B43" s="357" t="s">
        <v>887</v>
      </c>
      <c r="C43" s="357" t="s">
        <v>888</v>
      </c>
      <c r="D43" s="362" t="s">
        <v>883</v>
      </c>
    </row>
    <row r="44" spans="1:4" ht="24" x14ac:dyDescent="0.2">
      <c r="A44" s="359"/>
      <c r="B44" s="357"/>
      <c r="C44" s="357"/>
      <c r="D44" s="362" t="s">
        <v>853</v>
      </c>
    </row>
    <row r="45" spans="1:4" ht="36" x14ac:dyDescent="0.2">
      <c r="A45" s="359"/>
      <c r="B45" s="357"/>
      <c r="C45" s="357"/>
      <c r="D45" s="362" t="s">
        <v>884</v>
      </c>
    </row>
    <row r="46" spans="1:4" ht="4.5" customHeight="1" x14ac:dyDescent="0.2">
      <c r="A46" s="369"/>
      <c r="B46" s="368"/>
      <c r="C46" s="368"/>
      <c r="D46" s="370"/>
    </row>
    <row r="47" spans="1:4" ht="36" x14ac:dyDescent="0.2">
      <c r="A47" s="367" t="s">
        <v>25</v>
      </c>
      <c r="B47" s="358" t="s">
        <v>863</v>
      </c>
      <c r="C47" s="358" t="s">
        <v>861</v>
      </c>
      <c r="D47" s="193"/>
    </row>
    <row r="48" spans="1:4" ht="24" x14ac:dyDescent="0.2">
      <c r="A48" s="360"/>
      <c r="B48" s="361" t="s">
        <v>893</v>
      </c>
      <c r="C48" s="361" t="s">
        <v>864</v>
      </c>
      <c r="D48" s="192"/>
    </row>
  </sheetData>
  <pageMargins left="0.7" right="0.7" top="0.75" bottom="0.75" header="0.3" footer="0.3"/>
  <pageSetup scale="73"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94411-44ED-4AD8-B1ED-99C2507A46BE}">
  <sheetPr>
    <tabColor theme="5" tint="0.39997558519241921"/>
  </sheetPr>
  <dimension ref="A1:S21"/>
  <sheetViews>
    <sheetView zoomScale="130" zoomScaleNormal="130" workbookViewId="0">
      <selection activeCell="H18" sqref="H18"/>
    </sheetView>
  </sheetViews>
  <sheetFormatPr defaultRowHeight="15" x14ac:dyDescent="0.25"/>
  <cols>
    <col min="1" max="1" width="14.42578125" bestFit="1" customWidth="1"/>
    <col min="2" max="2" width="24.140625" bestFit="1" customWidth="1"/>
    <col min="3" max="3" width="10.7109375" bestFit="1" customWidth="1"/>
    <col min="4" max="4" width="12.7109375" customWidth="1"/>
    <col min="5" max="5" width="9.85546875" bestFit="1" customWidth="1"/>
    <col min="6" max="6" width="10.7109375" bestFit="1" customWidth="1"/>
  </cols>
  <sheetData>
    <row r="1" spans="1:19" s="1" customFormat="1" ht="24.75" x14ac:dyDescent="0.25">
      <c r="A1" s="133" t="s">
        <v>302</v>
      </c>
      <c r="B1" s="133" t="s">
        <v>599</v>
      </c>
      <c r="C1" s="270" t="s">
        <v>600</v>
      </c>
      <c r="D1" s="270" t="s">
        <v>272</v>
      </c>
      <c r="E1" s="270" t="s">
        <v>273</v>
      </c>
      <c r="F1" s="270" t="s">
        <v>37</v>
      </c>
      <c r="G1" s="274" t="s">
        <v>40</v>
      </c>
      <c r="H1" s="133"/>
      <c r="I1" s="133"/>
      <c r="J1" s="133"/>
      <c r="K1" s="133"/>
      <c r="L1" s="133"/>
      <c r="M1" s="133"/>
      <c r="N1" s="133"/>
      <c r="O1" s="133"/>
      <c r="P1" s="133"/>
      <c r="Q1" s="133"/>
      <c r="R1" s="133"/>
      <c r="S1" s="133"/>
    </row>
    <row r="2" spans="1:19" x14ac:dyDescent="0.25">
      <c r="A2" s="134" t="s">
        <v>83</v>
      </c>
      <c r="B2" s="134" t="s">
        <v>601</v>
      </c>
      <c r="C2" s="170">
        <v>863500</v>
      </c>
      <c r="D2" s="170">
        <v>838500</v>
      </c>
      <c r="E2" s="170">
        <v>50000</v>
      </c>
      <c r="F2" s="170">
        <v>799209.5</v>
      </c>
      <c r="G2" s="134">
        <v>10</v>
      </c>
      <c r="H2" s="134"/>
      <c r="I2" s="134"/>
      <c r="J2" s="134"/>
      <c r="K2" s="134"/>
      <c r="L2" s="134"/>
      <c r="M2" s="134"/>
      <c r="N2" s="134"/>
      <c r="O2" s="134"/>
      <c r="P2" s="134"/>
      <c r="Q2" s="134"/>
      <c r="R2" s="134"/>
      <c r="S2" s="134"/>
    </row>
    <row r="3" spans="1:19" x14ac:dyDescent="0.25">
      <c r="A3" s="134" t="s">
        <v>83</v>
      </c>
      <c r="B3" s="134" t="s">
        <v>601</v>
      </c>
      <c r="C3" s="170">
        <v>863500</v>
      </c>
      <c r="D3" s="191">
        <v>838500</v>
      </c>
      <c r="E3" s="170">
        <v>50000</v>
      </c>
      <c r="F3" s="170">
        <v>799209.5</v>
      </c>
      <c r="G3" s="134">
        <v>10</v>
      </c>
      <c r="H3" s="134"/>
      <c r="I3" s="134"/>
      <c r="J3" s="134"/>
      <c r="K3" s="134"/>
      <c r="L3" s="134"/>
      <c r="M3" s="134"/>
      <c r="N3" s="134"/>
      <c r="O3" s="134"/>
      <c r="P3" s="134"/>
      <c r="Q3" s="134"/>
      <c r="R3" s="134"/>
      <c r="S3" s="134"/>
    </row>
    <row r="4" spans="1:19" x14ac:dyDescent="0.25">
      <c r="A4" s="134" t="s">
        <v>83</v>
      </c>
      <c r="B4" s="134" t="s">
        <v>602</v>
      </c>
      <c r="C4" s="170">
        <f>SUM(D4:E4)</f>
        <v>1142108</v>
      </c>
      <c r="D4" s="170">
        <v>1142108</v>
      </c>
      <c r="E4" s="170">
        <v>0</v>
      </c>
      <c r="F4" s="170">
        <v>948038</v>
      </c>
      <c r="G4" s="134">
        <v>3</v>
      </c>
      <c r="H4" s="134"/>
      <c r="I4" s="134"/>
      <c r="J4" s="134"/>
      <c r="K4" s="134"/>
      <c r="L4" s="134"/>
      <c r="M4" s="134"/>
      <c r="N4" s="134"/>
      <c r="O4" s="134"/>
      <c r="P4" s="134"/>
      <c r="Q4" s="134"/>
      <c r="R4" s="134"/>
      <c r="S4" s="134"/>
    </row>
    <row r="5" spans="1:19" x14ac:dyDescent="0.25">
      <c r="A5" s="134"/>
      <c r="B5" s="134"/>
      <c r="C5" s="134"/>
      <c r="D5" s="134"/>
      <c r="E5" s="134"/>
      <c r="F5" s="134"/>
      <c r="G5" s="134"/>
      <c r="H5" s="134"/>
      <c r="I5" s="134"/>
      <c r="J5" s="134"/>
      <c r="K5" s="134"/>
      <c r="L5" s="134"/>
    </row>
    <row r="6" spans="1:19" x14ac:dyDescent="0.25">
      <c r="A6" s="134"/>
      <c r="B6" s="134"/>
      <c r="C6" s="134"/>
      <c r="D6" s="134"/>
      <c r="E6" s="134"/>
      <c r="F6" s="134"/>
      <c r="G6" s="134"/>
      <c r="H6" s="134"/>
      <c r="I6" s="134"/>
      <c r="J6" s="134"/>
      <c r="K6" s="134"/>
      <c r="L6" s="134"/>
    </row>
    <row r="7" spans="1:19" x14ac:dyDescent="0.25">
      <c r="A7" s="134"/>
      <c r="B7" s="134"/>
      <c r="C7" s="134"/>
      <c r="D7" s="134"/>
      <c r="E7" s="134"/>
      <c r="F7" s="134"/>
      <c r="G7" s="134"/>
      <c r="H7" s="134"/>
      <c r="I7" s="134"/>
      <c r="J7" s="134"/>
      <c r="K7" s="134"/>
      <c r="L7" s="134"/>
    </row>
    <row r="8" spans="1:19" x14ac:dyDescent="0.25">
      <c r="A8" s="134"/>
      <c r="B8" s="134"/>
      <c r="C8" s="134"/>
      <c r="D8" s="134"/>
      <c r="E8" s="134"/>
      <c r="F8" s="134"/>
      <c r="G8" s="134"/>
      <c r="H8" s="134"/>
      <c r="I8" s="134"/>
      <c r="J8" s="134"/>
      <c r="K8" s="134"/>
      <c r="L8" s="134"/>
    </row>
    <row r="9" spans="1:19" x14ac:dyDescent="0.25">
      <c r="A9" s="134"/>
      <c r="B9" s="134"/>
      <c r="C9" s="134"/>
      <c r="D9" s="134"/>
      <c r="E9" s="134"/>
      <c r="F9" s="134"/>
      <c r="G9" s="134"/>
      <c r="H9" s="134"/>
      <c r="I9" s="134"/>
      <c r="J9" s="134"/>
      <c r="K9" s="134"/>
      <c r="L9" s="134"/>
      <c r="M9" s="134"/>
      <c r="N9" s="134"/>
      <c r="O9" s="134"/>
      <c r="P9" s="134"/>
      <c r="Q9" s="134"/>
      <c r="R9" s="134"/>
      <c r="S9" s="134"/>
    </row>
    <row r="10" spans="1:19" x14ac:dyDescent="0.25">
      <c r="A10" s="134"/>
      <c r="B10" s="134"/>
      <c r="C10" s="134"/>
      <c r="D10" s="134"/>
      <c r="E10" s="134"/>
      <c r="F10" s="134"/>
      <c r="G10" s="134"/>
      <c r="H10" s="134"/>
      <c r="I10" s="134"/>
      <c r="J10" s="134"/>
      <c r="K10" s="134"/>
      <c r="L10" s="134"/>
      <c r="M10" s="134"/>
      <c r="N10" s="134"/>
      <c r="O10" s="134"/>
      <c r="P10" s="134"/>
      <c r="Q10" s="134"/>
      <c r="R10" s="134"/>
      <c r="S10" s="134"/>
    </row>
    <row r="11" spans="1:19" x14ac:dyDescent="0.25">
      <c r="A11" s="134"/>
      <c r="B11" s="134"/>
      <c r="C11" s="134"/>
      <c r="D11" s="134"/>
      <c r="E11" s="134"/>
      <c r="F11" s="134"/>
      <c r="G11" s="134"/>
      <c r="H11" s="134"/>
      <c r="I11" s="134"/>
      <c r="J11" s="134"/>
      <c r="K11" s="134"/>
      <c r="L11" s="134"/>
      <c r="M11" s="134"/>
      <c r="N11" s="134"/>
      <c r="O11" s="134"/>
      <c r="P11" s="134"/>
      <c r="Q11" s="134"/>
      <c r="R11" s="134"/>
      <c r="S11" s="134"/>
    </row>
    <row r="12" spans="1:19" x14ac:dyDescent="0.25">
      <c r="A12" s="134"/>
      <c r="B12" s="134"/>
      <c r="C12" s="134"/>
      <c r="D12" s="134"/>
      <c r="E12" s="134"/>
      <c r="F12" s="134"/>
      <c r="G12" s="134"/>
      <c r="H12" s="134"/>
      <c r="I12" s="134"/>
      <c r="J12" s="134"/>
      <c r="K12" s="134"/>
      <c r="L12" s="134"/>
      <c r="M12" s="134"/>
      <c r="N12" s="134"/>
      <c r="O12" s="134"/>
      <c r="P12" s="134"/>
      <c r="Q12" s="134"/>
      <c r="R12" s="134"/>
      <c r="S12" s="134"/>
    </row>
    <row r="13" spans="1:19" x14ac:dyDescent="0.25">
      <c r="A13" s="134"/>
      <c r="B13" s="134"/>
      <c r="C13" s="134"/>
      <c r="D13" s="134"/>
      <c r="E13" s="134"/>
      <c r="F13" s="134"/>
      <c r="G13" s="134"/>
      <c r="H13" s="134"/>
      <c r="I13" s="134"/>
      <c r="J13" s="134"/>
      <c r="K13" s="134"/>
      <c r="L13" s="134"/>
      <c r="M13" s="134"/>
      <c r="N13" s="134"/>
      <c r="O13" s="134"/>
      <c r="P13" s="134"/>
      <c r="Q13" s="134"/>
      <c r="R13" s="134"/>
      <c r="S13" s="134"/>
    </row>
    <row r="14" spans="1:19" x14ac:dyDescent="0.25">
      <c r="A14" s="134"/>
      <c r="B14" s="134"/>
      <c r="C14" s="134"/>
      <c r="D14" s="134"/>
      <c r="E14" s="134"/>
      <c r="F14" s="134"/>
      <c r="G14" s="134"/>
      <c r="H14" s="134"/>
      <c r="I14" s="134"/>
      <c r="J14" s="134"/>
      <c r="K14" s="134"/>
      <c r="L14" s="134"/>
      <c r="M14" s="134"/>
      <c r="N14" s="134"/>
      <c r="O14" s="134"/>
      <c r="P14" s="134"/>
      <c r="Q14" s="134"/>
      <c r="R14" s="134"/>
      <c r="S14" s="134"/>
    </row>
    <row r="15" spans="1:19" x14ac:dyDescent="0.25">
      <c r="A15" s="134"/>
      <c r="B15" s="134"/>
      <c r="C15" s="134"/>
      <c r="D15" s="134"/>
      <c r="E15" s="134"/>
      <c r="F15" s="134"/>
      <c r="G15" s="134"/>
      <c r="H15" s="134"/>
      <c r="I15" s="134"/>
      <c r="J15" s="134"/>
      <c r="K15" s="134"/>
      <c r="L15" s="134"/>
      <c r="M15" s="134"/>
      <c r="N15" s="134"/>
      <c r="O15" s="134"/>
      <c r="P15" s="134"/>
      <c r="Q15" s="134"/>
      <c r="R15" s="134"/>
      <c r="S15" s="134"/>
    </row>
    <row r="16" spans="1:19" x14ac:dyDescent="0.25">
      <c r="A16" s="134"/>
      <c r="B16" s="134"/>
      <c r="C16" s="134"/>
      <c r="D16" s="134"/>
      <c r="E16" s="134"/>
      <c r="F16" s="134"/>
      <c r="G16" s="134"/>
      <c r="H16" s="134"/>
      <c r="I16" s="134"/>
      <c r="J16" s="134"/>
      <c r="K16" s="134"/>
      <c r="L16" s="134"/>
      <c r="M16" s="134"/>
      <c r="N16" s="134"/>
      <c r="O16" s="134"/>
      <c r="P16" s="134"/>
      <c r="Q16" s="134"/>
      <c r="R16" s="134"/>
      <c r="S16" s="134"/>
    </row>
    <row r="17" spans="1:19" x14ac:dyDescent="0.25">
      <c r="A17" s="134"/>
      <c r="B17" s="134"/>
      <c r="C17" s="134"/>
      <c r="D17" s="134"/>
      <c r="E17" s="134"/>
      <c r="F17" s="134"/>
      <c r="G17" s="134"/>
      <c r="H17" s="134"/>
      <c r="I17" s="134"/>
      <c r="J17" s="134"/>
      <c r="K17" s="134"/>
      <c r="L17" s="134"/>
      <c r="M17" s="134"/>
      <c r="N17" s="134"/>
      <c r="O17" s="134"/>
      <c r="P17" s="134"/>
      <c r="Q17" s="134"/>
      <c r="R17" s="134"/>
      <c r="S17" s="134"/>
    </row>
    <row r="18" spans="1:19" x14ac:dyDescent="0.25">
      <c r="A18" s="134"/>
      <c r="B18" s="134"/>
      <c r="C18" s="134"/>
      <c r="D18" s="134"/>
      <c r="E18" s="134"/>
      <c r="F18" s="134"/>
      <c r="G18" s="134"/>
      <c r="H18" s="134"/>
      <c r="I18" s="134"/>
      <c r="J18" s="134"/>
      <c r="K18" s="134"/>
      <c r="L18" s="134"/>
      <c r="M18" s="134"/>
      <c r="N18" s="134"/>
      <c r="O18" s="134"/>
      <c r="P18" s="134"/>
      <c r="Q18" s="134"/>
      <c r="R18" s="134"/>
      <c r="S18" s="134"/>
    </row>
    <row r="19" spans="1:19" x14ac:dyDescent="0.25">
      <c r="A19" s="134"/>
      <c r="B19" s="134"/>
      <c r="C19" s="134"/>
      <c r="D19" s="134"/>
      <c r="E19" s="134"/>
      <c r="F19" s="134"/>
      <c r="G19" s="134"/>
      <c r="H19" s="134"/>
      <c r="I19" s="134"/>
      <c r="J19" s="134"/>
      <c r="K19" s="134"/>
      <c r="L19" s="134"/>
      <c r="M19" s="134"/>
      <c r="N19" s="134"/>
      <c r="O19" s="134"/>
      <c r="P19" s="134"/>
      <c r="Q19" s="134"/>
      <c r="R19" s="134"/>
      <c r="S19" s="134"/>
    </row>
    <row r="20" spans="1:19" x14ac:dyDescent="0.25">
      <c r="A20" s="134"/>
      <c r="B20" s="134"/>
      <c r="C20" s="134"/>
      <c r="D20" s="134"/>
      <c r="E20" s="134"/>
      <c r="F20" s="134"/>
      <c r="G20" s="134"/>
      <c r="H20" s="134"/>
      <c r="I20" s="134"/>
      <c r="J20" s="134"/>
      <c r="K20" s="134"/>
      <c r="L20" s="134"/>
      <c r="M20" s="134"/>
      <c r="N20" s="134"/>
      <c r="O20" s="134"/>
      <c r="P20" s="134"/>
      <c r="Q20" s="134"/>
      <c r="R20" s="134"/>
      <c r="S20" s="134"/>
    </row>
    <row r="21" spans="1:19" x14ac:dyDescent="0.25">
      <c r="A21" s="134"/>
      <c r="B21" s="134"/>
      <c r="C21" s="134"/>
      <c r="D21" s="134"/>
      <c r="E21" s="134"/>
      <c r="F21" s="134"/>
      <c r="G21" s="134"/>
      <c r="H21" s="134"/>
      <c r="I21" s="134"/>
      <c r="J21" s="134"/>
      <c r="K21" s="134"/>
      <c r="L21" s="134"/>
      <c r="M21" s="134"/>
      <c r="N21" s="134"/>
      <c r="O21" s="134"/>
      <c r="P21" s="134"/>
      <c r="Q21" s="134"/>
      <c r="R21" s="134"/>
      <c r="S21" s="134"/>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1BBFC-06A8-4A26-9510-BA16FA9ACCE0}">
  <sheetPr>
    <tabColor theme="5" tint="0.39997558519241921"/>
  </sheetPr>
  <dimension ref="A1:D54"/>
  <sheetViews>
    <sheetView view="pageBreakPreview" topLeftCell="A2" zoomScale="115" zoomScaleNormal="100" zoomScaleSheetLayoutView="115" workbookViewId="0">
      <selection sqref="A1:XFD1"/>
    </sheetView>
  </sheetViews>
  <sheetFormatPr defaultRowHeight="15" outlineLevelRow="1" x14ac:dyDescent="0.25"/>
  <cols>
    <col min="1" max="1" width="18.7109375" bestFit="1" customWidth="1"/>
    <col min="2" max="2" width="19.42578125" bestFit="1" customWidth="1"/>
    <col min="4" max="4" width="9.42578125" bestFit="1" customWidth="1"/>
  </cols>
  <sheetData>
    <row r="1" spans="1:4" hidden="1" outlineLevel="1" x14ac:dyDescent="0.25">
      <c r="A1">
        <v>1</v>
      </c>
      <c r="B1">
        <v>2</v>
      </c>
      <c r="C1">
        <v>3</v>
      </c>
      <c r="D1">
        <v>4</v>
      </c>
    </row>
    <row r="2" spans="1:4" collapsed="1" x14ac:dyDescent="0.25">
      <c r="A2" s="124" t="s">
        <v>603</v>
      </c>
      <c r="B2" s="124" t="s">
        <v>604</v>
      </c>
      <c r="C2" s="124" t="s">
        <v>605</v>
      </c>
      <c r="D2" s="125" t="s">
        <v>606</v>
      </c>
    </row>
    <row r="3" spans="1:4" x14ac:dyDescent="0.25">
      <c r="A3" s="126" t="s">
        <v>607</v>
      </c>
      <c r="B3" s="126" t="s">
        <v>608</v>
      </c>
      <c r="C3" s="126" t="s">
        <v>609</v>
      </c>
      <c r="D3" s="127">
        <v>14061</v>
      </c>
    </row>
    <row r="4" spans="1:4" x14ac:dyDescent="0.25">
      <c r="A4" s="126" t="s">
        <v>173</v>
      </c>
      <c r="B4" s="126" t="s">
        <v>608</v>
      </c>
      <c r="C4" s="126" t="s">
        <v>609</v>
      </c>
      <c r="D4" s="127">
        <v>137</v>
      </c>
    </row>
    <row r="5" spans="1:4" x14ac:dyDescent="0.25">
      <c r="A5" s="126" t="s">
        <v>174</v>
      </c>
      <c r="B5" s="126" t="s">
        <v>608</v>
      </c>
      <c r="C5" s="126" t="s">
        <v>609</v>
      </c>
      <c r="D5" s="127">
        <v>55</v>
      </c>
    </row>
    <row r="6" spans="1:4" x14ac:dyDescent="0.25">
      <c r="A6" s="126" t="s">
        <v>175</v>
      </c>
      <c r="B6" s="126" t="s">
        <v>608</v>
      </c>
      <c r="C6" s="126" t="s">
        <v>609</v>
      </c>
      <c r="D6" s="127">
        <v>254</v>
      </c>
    </row>
    <row r="7" spans="1:4" x14ac:dyDescent="0.25">
      <c r="A7" s="126" t="s">
        <v>176</v>
      </c>
      <c r="B7" s="126" t="s">
        <v>608</v>
      </c>
      <c r="C7" s="126" t="s">
        <v>609</v>
      </c>
      <c r="D7" s="127">
        <v>235</v>
      </c>
    </row>
    <row r="8" spans="1:4" x14ac:dyDescent="0.25">
      <c r="A8" s="126" t="s">
        <v>177</v>
      </c>
      <c r="B8" s="126" t="s">
        <v>608</v>
      </c>
      <c r="C8" s="126" t="s">
        <v>609</v>
      </c>
      <c r="D8" s="127">
        <v>1068</v>
      </c>
    </row>
    <row r="9" spans="1:4" x14ac:dyDescent="0.25">
      <c r="A9" s="126" t="s">
        <v>178</v>
      </c>
      <c r="B9" s="126" t="s">
        <v>608</v>
      </c>
      <c r="C9" s="126" t="s">
        <v>609</v>
      </c>
      <c r="D9" s="127">
        <v>180</v>
      </c>
    </row>
    <row r="10" spans="1:4" x14ac:dyDescent="0.25">
      <c r="A10" s="126" t="s">
        <v>179</v>
      </c>
      <c r="B10" s="126" t="s">
        <v>608</v>
      </c>
      <c r="C10" s="126" t="s">
        <v>609</v>
      </c>
      <c r="D10" s="127">
        <v>166</v>
      </c>
    </row>
    <row r="11" spans="1:4" x14ac:dyDescent="0.25">
      <c r="A11" s="126" t="s">
        <v>180</v>
      </c>
      <c r="B11" s="126" t="s">
        <v>608</v>
      </c>
      <c r="C11" s="126" t="s">
        <v>609</v>
      </c>
      <c r="D11" s="127">
        <v>19</v>
      </c>
    </row>
    <row r="12" spans="1:4" x14ac:dyDescent="0.25">
      <c r="A12" s="126" t="s">
        <v>181</v>
      </c>
      <c r="B12" s="126" t="s">
        <v>608</v>
      </c>
      <c r="C12" s="126" t="s">
        <v>609</v>
      </c>
      <c r="D12" s="127">
        <v>2</v>
      </c>
    </row>
    <row r="13" spans="1:4" x14ac:dyDescent="0.25">
      <c r="A13" s="126" t="s">
        <v>182</v>
      </c>
      <c r="B13" s="126" t="s">
        <v>608</v>
      </c>
      <c r="C13" s="126" t="s">
        <v>609</v>
      </c>
      <c r="D13" s="127">
        <v>95</v>
      </c>
    </row>
    <row r="14" spans="1:4" x14ac:dyDescent="0.25">
      <c r="A14" s="126" t="s">
        <v>183</v>
      </c>
      <c r="B14" s="126" t="s">
        <v>608</v>
      </c>
      <c r="C14" s="126" t="s">
        <v>609</v>
      </c>
      <c r="D14" s="127">
        <v>180</v>
      </c>
    </row>
    <row r="15" spans="1:4" x14ac:dyDescent="0.25">
      <c r="A15" s="126" t="s">
        <v>184</v>
      </c>
      <c r="B15" s="126" t="s">
        <v>608</v>
      </c>
      <c r="C15" s="126" t="s">
        <v>609</v>
      </c>
      <c r="D15" s="127">
        <v>1</v>
      </c>
    </row>
    <row r="16" spans="1:4" x14ac:dyDescent="0.25">
      <c r="A16" s="126" t="s">
        <v>185</v>
      </c>
      <c r="B16" s="126" t="s">
        <v>608</v>
      </c>
      <c r="C16" s="126" t="s">
        <v>609</v>
      </c>
      <c r="D16" s="127">
        <v>118</v>
      </c>
    </row>
    <row r="17" spans="1:4" x14ac:dyDescent="0.25">
      <c r="A17" s="126" t="s">
        <v>186</v>
      </c>
      <c r="B17" s="126" t="s">
        <v>608</v>
      </c>
      <c r="C17" s="126" t="s">
        <v>609</v>
      </c>
      <c r="D17" s="127">
        <v>886</v>
      </c>
    </row>
    <row r="18" spans="1:4" x14ac:dyDescent="0.25">
      <c r="A18" s="126" t="s">
        <v>187</v>
      </c>
      <c r="B18" s="126" t="s">
        <v>608</v>
      </c>
      <c r="C18" s="126" t="s">
        <v>609</v>
      </c>
      <c r="D18" s="127">
        <v>289</v>
      </c>
    </row>
    <row r="19" spans="1:4" x14ac:dyDescent="0.25">
      <c r="A19" s="126" t="s">
        <v>188</v>
      </c>
      <c r="B19" s="126" t="s">
        <v>608</v>
      </c>
      <c r="C19" s="126" t="s">
        <v>609</v>
      </c>
      <c r="D19" s="127">
        <v>348</v>
      </c>
    </row>
    <row r="20" spans="1:4" x14ac:dyDescent="0.25">
      <c r="A20" s="126" t="s">
        <v>189</v>
      </c>
      <c r="B20" s="126" t="s">
        <v>608</v>
      </c>
      <c r="C20" s="126" t="s">
        <v>609</v>
      </c>
      <c r="D20" s="127">
        <v>306</v>
      </c>
    </row>
    <row r="21" spans="1:4" x14ac:dyDescent="0.25">
      <c r="A21" s="126" t="s">
        <v>190</v>
      </c>
      <c r="B21" s="126" t="s">
        <v>608</v>
      </c>
      <c r="C21" s="126" t="s">
        <v>609</v>
      </c>
      <c r="D21" s="127">
        <v>173</v>
      </c>
    </row>
    <row r="22" spans="1:4" x14ac:dyDescent="0.25">
      <c r="A22" s="126" t="s">
        <v>191</v>
      </c>
      <c r="B22" s="126" t="s">
        <v>608</v>
      </c>
      <c r="C22" s="126" t="s">
        <v>609</v>
      </c>
      <c r="D22" s="127">
        <v>70</v>
      </c>
    </row>
    <row r="23" spans="1:4" x14ac:dyDescent="0.25">
      <c r="A23" s="126" t="s">
        <v>192</v>
      </c>
      <c r="B23" s="126" t="s">
        <v>608</v>
      </c>
      <c r="C23" s="126" t="s">
        <v>609</v>
      </c>
      <c r="D23" s="127">
        <v>258</v>
      </c>
    </row>
    <row r="24" spans="1:4" x14ac:dyDescent="0.25">
      <c r="A24" s="126" t="s">
        <v>193</v>
      </c>
      <c r="B24" s="126" t="s">
        <v>608</v>
      </c>
      <c r="C24" s="126" t="s">
        <v>609</v>
      </c>
      <c r="D24" s="127">
        <v>39</v>
      </c>
    </row>
    <row r="25" spans="1:4" x14ac:dyDescent="0.25">
      <c r="A25" s="126" t="s">
        <v>194</v>
      </c>
      <c r="B25" s="126" t="s">
        <v>608</v>
      </c>
      <c r="C25" s="126" t="s">
        <v>609</v>
      </c>
      <c r="D25" s="127">
        <v>321</v>
      </c>
    </row>
    <row r="26" spans="1:4" x14ac:dyDescent="0.25">
      <c r="A26" s="126" t="s">
        <v>195</v>
      </c>
      <c r="B26" s="126" t="s">
        <v>608</v>
      </c>
      <c r="C26" s="126" t="s">
        <v>609</v>
      </c>
      <c r="D26" s="127">
        <v>571</v>
      </c>
    </row>
    <row r="27" spans="1:4" x14ac:dyDescent="0.25">
      <c r="A27" s="126" t="s">
        <v>196</v>
      </c>
      <c r="B27" s="126" t="s">
        <v>608</v>
      </c>
      <c r="C27" s="126" t="s">
        <v>609</v>
      </c>
      <c r="D27" s="127">
        <v>333</v>
      </c>
    </row>
    <row r="28" spans="1:4" x14ac:dyDescent="0.25">
      <c r="A28" s="126" t="s">
        <v>197</v>
      </c>
      <c r="B28" s="126" t="s">
        <v>608</v>
      </c>
      <c r="C28" s="126" t="s">
        <v>609</v>
      </c>
      <c r="D28" s="127">
        <v>160</v>
      </c>
    </row>
    <row r="29" spans="1:4" x14ac:dyDescent="0.25">
      <c r="A29" s="126" t="s">
        <v>198</v>
      </c>
      <c r="B29" s="126" t="s">
        <v>608</v>
      </c>
      <c r="C29" s="126" t="s">
        <v>609</v>
      </c>
      <c r="D29" s="127">
        <v>530</v>
      </c>
    </row>
    <row r="30" spans="1:4" x14ac:dyDescent="0.25">
      <c r="A30" s="126" t="s">
        <v>199</v>
      </c>
      <c r="B30" s="126" t="s">
        <v>608</v>
      </c>
      <c r="C30" s="126" t="s">
        <v>609</v>
      </c>
      <c r="D30" s="127">
        <v>313</v>
      </c>
    </row>
    <row r="31" spans="1:4" x14ac:dyDescent="0.25">
      <c r="A31" s="126" t="s">
        <v>200</v>
      </c>
      <c r="B31" s="126" t="s">
        <v>608</v>
      </c>
      <c r="C31" s="126" t="s">
        <v>609</v>
      </c>
      <c r="D31" s="127">
        <v>269</v>
      </c>
    </row>
    <row r="32" spans="1:4" x14ac:dyDescent="0.25">
      <c r="A32" s="126" t="s">
        <v>201</v>
      </c>
      <c r="B32" s="126" t="s">
        <v>608</v>
      </c>
      <c r="C32" s="126" t="s">
        <v>609</v>
      </c>
      <c r="D32" s="127">
        <v>17</v>
      </c>
    </row>
    <row r="33" spans="1:4" x14ac:dyDescent="0.25">
      <c r="A33" s="126" t="s">
        <v>202</v>
      </c>
      <c r="B33" s="126" t="s">
        <v>608</v>
      </c>
      <c r="C33" s="126" t="s">
        <v>609</v>
      </c>
      <c r="D33" s="127">
        <v>178</v>
      </c>
    </row>
    <row r="34" spans="1:4" x14ac:dyDescent="0.25">
      <c r="A34" s="126" t="s">
        <v>203</v>
      </c>
      <c r="B34" s="126" t="s">
        <v>608</v>
      </c>
      <c r="C34" s="126" t="s">
        <v>609</v>
      </c>
      <c r="D34" s="127">
        <v>593</v>
      </c>
    </row>
    <row r="35" spans="1:4" x14ac:dyDescent="0.25">
      <c r="A35" s="126" t="s">
        <v>204</v>
      </c>
      <c r="B35" s="126" t="s">
        <v>608</v>
      </c>
      <c r="C35" s="126" t="s">
        <v>609</v>
      </c>
      <c r="D35" s="127">
        <v>96</v>
      </c>
    </row>
    <row r="36" spans="1:4" x14ac:dyDescent="0.25">
      <c r="A36" s="126" t="s">
        <v>205</v>
      </c>
      <c r="B36" s="126" t="s">
        <v>608</v>
      </c>
      <c r="C36" s="126" t="s">
        <v>609</v>
      </c>
      <c r="D36" s="127">
        <v>714</v>
      </c>
    </row>
    <row r="37" spans="1:4" x14ac:dyDescent="0.25">
      <c r="A37" s="126" t="s">
        <v>206</v>
      </c>
      <c r="B37" s="126" t="s">
        <v>608</v>
      </c>
      <c r="C37" s="126" t="s">
        <v>609</v>
      </c>
      <c r="D37" s="127">
        <v>174</v>
      </c>
    </row>
    <row r="38" spans="1:4" x14ac:dyDescent="0.25">
      <c r="A38" s="126" t="s">
        <v>207</v>
      </c>
      <c r="B38" s="126" t="s">
        <v>608</v>
      </c>
      <c r="C38" s="126" t="s">
        <v>609</v>
      </c>
      <c r="D38" s="127">
        <v>179</v>
      </c>
    </row>
    <row r="39" spans="1:4" x14ac:dyDescent="0.25">
      <c r="A39" s="126" t="s">
        <v>208</v>
      </c>
      <c r="B39" s="126" t="s">
        <v>608</v>
      </c>
      <c r="C39" s="126" t="s">
        <v>609</v>
      </c>
      <c r="D39" s="127">
        <v>666</v>
      </c>
    </row>
    <row r="40" spans="1:4" x14ac:dyDescent="0.25">
      <c r="A40" s="126" t="s">
        <v>209</v>
      </c>
      <c r="B40" s="126" t="s">
        <v>608</v>
      </c>
      <c r="C40" s="126" t="s">
        <v>609</v>
      </c>
      <c r="D40" s="127">
        <v>542</v>
      </c>
    </row>
    <row r="41" spans="1:4" x14ac:dyDescent="0.25">
      <c r="A41" s="126" t="s">
        <v>210</v>
      </c>
      <c r="B41" s="126" t="s">
        <v>608</v>
      </c>
      <c r="C41" s="126" t="s">
        <v>609</v>
      </c>
      <c r="D41" s="127">
        <v>230</v>
      </c>
    </row>
    <row r="42" spans="1:4" x14ac:dyDescent="0.25">
      <c r="A42" s="126" t="s">
        <v>211</v>
      </c>
      <c r="B42" s="126" t="s">
        <v>608</v>
      </c>
      <c r="C42" s="126" t="s">
        <v>609</v>
      </c>
      <c r="D42" s="127">
        <v>514</v>
      </c>
    </row>
    <row r="43" spans="1:4" x14ac:dyDescent="0.25">
      <c r="A43" s="126" t="s">
        <v>212</v>
      </c>
      <c r="B43" s="126" t="s">
        <v>608</v>
      </c>
      <c r="C43" s="126" t="s">
        <v>609</v>
      </c>
      <c r="D43" s="127">
        <v>36</v>
      </c>
    </row>
    <row r="44" spans="1:4" x14ac:dyDescent="0.25">
      <c r="A44" s="126" t="s">
        <v>213</v>
      </c>
      <c r="B44" s="126" t="s">
        <v>608</v>
      </c>
      <c r="C44" s="126" t="s">
        <v>609</v>
      </c>
      <c r="D44" s="127">
        <v>81</v>
      </c>
    </row>
    <row r="45" spans="1:4" x14ac:dyDescent="0.25">
      <c r="A45" s="126" t="s">
        <v>214</v>
      </c>
      <c r="B45" s="126" t="s">
        <v>608</v>
      </c>
      <c r="C45" s="126" t="s">
        <v>609</v>
      </c>
      <c r="D45" s="127">
        <v>150</v>
      </c>
    </row>
    <row r="46" spans="1:4" x14ac:dyDescent="0.25">
      <c r="A46" s="126" t="s">
        <v>215</v>
      </c>
      <c r="B46" s="126" t="s">
        <v>608</v>
      </c>
      <c r="C46" s="126" t="s">
        <v>609</v>
      </c>
      <c r="D46" s="127">
        <v>142</v>
      </c>
    </row>
    <row r="47" spans="1:4" x14ac:dyDescent="0.25">
      <c r="A47" s="126" t="s">
        <v>216</v>
      </c>
      <c r="B47" s="126" t="s">
        <v>608</v>
      </c>
      <c r="C47" s="126" t="s">
        <v>609</v>
      </c>
      <c r="D47" s="127">
        <v>1075</v>
      </c>
    </row>
    <row r="48" spans="1:4" x14ac:dyDescent="0.25">
      <c r="A48" s="126" t="s">
        <v>217</v>
      </c>
      <c r="B48" s="126" t="s">
        <v>608</v>
      </c>
      <c r="C48" s="126" t="s">
        <v>609</v>
      </c>
      <c r="D48" s="127">
        <v>41</v>
      </c>
    </row>
    <row r="49" spans="1:4" x14ac:dyDescent="0.25">
      <c r="A49" s="126" t="s">
        <v>218</v>
      </c>
      <c r="B49" s="126" t="s">
        <v>608</v>
      </c>
      <c r="C49" s="126" t="s">
        <v>609</v>
      </c>
      <c r="D49" s="127">
        <v>277</v>
      </c>
    </row>
    <row r="50" spans="1:4" x14ac:dyDescent="0.25">
      <c r="A50" s="126" t="s">
        <v>219</v>
      </c>
      <c r="B50" s="126" t="s">
        <v>608</v>
      </c>
      <c r="C50" s="126" t="s">
        <v>609</v>
      </c>
      <c r="D50" s="127">
        <v>134</v>
      </c>
    </row>
    <row r="51" spans="1:4" x14ac:dyDescent="0.25">
      <c r="A51" s="126" t="s">
        <v>220</v>
      </c>
      <c r="B51" s="126" t="s">
        <v>608</v>
      </c>
      <c r="C51" s="126" t="s">
        <v>609</v>
      </c>
      <c r="D51" s="127">
        <v>295</v>
      </c>
    </row>
    <row r="52" spans="1:4" x14ac:dyDescent="0.25">
      <c r="A52" s="126" t="s">
        <v>221</v>
      </c>
      <c r="B52" s="126" t="s">
        <v>608</v>
      </c>
      <c r="C52" s="126" t="s">
        <v>609</v>
      </c>
      <c r="D52" s="127">
        <v>55</v>
      </c>
    </row>
    <row r="53" spans="1:4" x14ac:dyDescent="0.25">
      <c r="A53" s="126" t="s">
        <v>222</v>
      </c>
      <c r="B53" s="126" t="s">
        <v>608</v>
      </c>
      <c r="C53" s="126" t="s">
        <v>609</v>
      </c>
      <c r="D53" s="127">
        <v>441</v>
      </c>
    </row>
    <row r="54" spans="1:4" x14ac:dyDescent="0.25">
      <c r="A54" s="126" t="s">
        <v>223</v>
      </c>
      <c r="B54" s="126" t="s">
        <v>608</v>
      </c>
      <c r="C54" s="126" t="s">
        <v>609</v>
      </c>
      <c r="D54" s="127">
        <v>55</v>
      </c>
    </row>
  </sheetData>
  <pageMargins left="0.7" right="0.7" top="0.75" bottom="0.75" header="0.3" footer="0.3"/>
  <pageSetup orientation="portrait" horizontalDpi="4294967293"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A7A45-E7CB-42A6-A8F9-A1CE3805CD7A}">
  <sheetPr>
    <tabColor theme="5" tint="0.39997558519241921"/>
  </sheetPr>
  <dimension ref="A1:M67"/>
  <sheetViews>
    <sheetView view="pageBreakPreview" topLeftCell="A2" zoomScale="115" zoomScaleNormal="100" zoomScaleSheetLayoutView="115" workbookViewId="0">
      <pane ySplit="3" topLeftCell="A5" activePane="bottomLeft" state="frozen"/>
      <selection activeCell="A2" sqref="A2"/>
      <selection pane="bottomLeft" activeCell="A65" sqref="A65:M65"/>
    </sheetView>
  </sheetViews>
  <sheetFormatPr defaultColWidth="9.140625" defaultRowHeight="12" outlineLevelRow="1" x14ac:dyDescent="0.2"/>
  <cols>
    <col min="1" max="1" width="18.42578125" style="134" bestFit="1" customWidth="1"/>
    <col min="2" max="13" width="10.85546875" style="134" bestFit="1" customWidth="1"/>
    <col min="14" max="16384" width="9.140625" style="134"/>
  </cols>
  <sheetData>
    <row r="1" spans="1:13" hidden="1" outlineLevel="1" x14ac:dyDescent="0.2">
      <c r="A1" s="134">
        <v>1</v>
      </c>
      <c r="B1" s="134">
        <f>A1+1</f>
        <v>2</v>
      </c>
      <c r="C1" s="134">
        <f t="shared" ref="C1:M1" si="0">B1+1</f>
        <v>3</v>
      </c>
      <c r="D1" s="134">
        <f t="shared" si="0"/>
        <v>4</v>
      </c>
      <c r="E1" s="134">
        <f t="shared" si="0"/>
        <v>5</v>
      </c>
      <c r="F1" s="134">
        <f t="shared" si="0"/>
        <v>6</v>
      </c>
      <c r="G1" s="134">
        <f t="shared" si="0"/>
        <v>7</v>
      </c>
      <c r="H1" s="134">
        <f t="shared" si="0"/>
        <v>8</v>
      </c>
      <c r="I1" s="134">
        <f t="shared" si="0"/>
        <v>9</v>
      </c>
      <c r="J1" s="134">
        <f t="shared" si="0"/>
        <v>10</v>
      </c>
      <c r="K1" s="134">
        <f t="shared" si="0"/>
        <v>11</v>
      </c>
      <c r="L1" s="134">
        <f t="shared" si="0"/>
        <v>12</v>
      </c>
      <c r="M1" s="134">
        <f t="shared" si="0"/>
        <v>13</v>
      </c>
    </row>
    <row r="2" spans="1:13" collapsed="1" x14ac:dyDescent="0.2">
      <c r="A2" s="381" t="s">
        <v>610</v>
      </c>
      <c r="B2" s="382"/>
      <c r="C2" s="382"/>
      <c r="D2" s="382"/>
      <c r="E2" s="382"/>
      <c r="F2" s="382"/>
      <c r="G2" s="382"/>
      <c r="H2" s="382"/>
      <c r="I2" s="382"/>
      <c r="J2" s="382"/>
      <c r="K2" s="382"/>
      <c r="L2" s="382"/>
      <c r="M2" s="382"/>
    </row>
    <row r="3" spans="1:13" x14ac:dyDescent="0.2">
      <c r="A3" s="383" t="s">
        <v>611</v>
      </c>
      <c r="B3" s="387">
        <v>40269</v>
      </c>
      <c r="C3" s="386"/>
      <c r="D3" s="385" t="s">
        <v>612</v>
      </c>
      <c r="E3" s="386"/>
      <c r="F3" s="386"/>
      <c r="G3" s="386"/>
      <c r="H3" s="386"/>
      <c r="I3" s="386"/>
      <c r="J3" s="386"/>
      <c r="K3" s="386"/>
      <c r="L3" s="386"/>
      <c r="M3" s="386"/>
    </row>
    <row r="4" spans="1:13" ht="24" x14ac:dyDescent="0.2">
      <c r="A4" s="384"/>
      <c r="B4" s="331" t="s">
        <v>613</v>
      </c>
      <c r="C4" s="331" t="s">
        <v>614</v>
      </c>
      <c r="D4" s="331">
        <v>2010</v>
      </c>
      <c r="E4" s="331">
        <v>2011</v>
      </c>
      <c r="F4" s="331">
        <v>2012</v>
      </c>
      <c r="G4" s="331">
        <v>2013</v>
      </c>
      <c r="H4" s="331">
        <v>2014</v>
      </c>
      <c r="I4" s="331">
        <v>2015</v>
      </c>
      <c r="J4" s="331">
        <v>2016</v>
      </c>
      <c r="K4" s="331">
        <v>2017</v>
      </c>
      <c r="L4" s="331">
        <v>2018</v>
      </c>
      <c r="M4" s="331">
        <v>2019</v>
      </c>
    </row>
    <row r="5" spans="1:13" x14ac:dyDescent="0.2">
      <c r="A5" s="286" t="s">
        <v>607</v>
      </c>
      <c r="B5" s="287">
        <v>308745538</v>
      </c>
      <c r="C5" s="287">
        <v>308758105</v>
      </c>
      <c r="D5" s="287">
        <v>309321666</v>
      </c>
      <c r="E5" s="287">
        <v>311556874</v>
      </c>
      <c r="F5" s="287">
        <v>313830990</v>
      </c>
      <c r="G5" s="287">
        <v>315993715</v>
      </c>
      <c r="H5" s="287">
        <v>318301008</v>
      </c>
      <c r="I5" s="287">
        <v>320635163</v>
      </c>
      <c r="J5" s="287">
        <v>322941311</v>
      </c>
      <c r="K5" s="287">
        <v>324985539</v>
      </c>
      <c r="L5" s="287">
        <v>326687501</v>
      </c>
      <c r="M5" s="287">
        <v>328239523</v>
      </c>
    </row>
    <row r="6" spans="1:13" x14ac:dyDescent="0.2">
      <c r="A6" s="288" t="s">
        <v>615</v>
      </c>
      <c r="B6" s="289">
        <v>55317240</v>
      </c>
      <c r="C6" s="289">
        <v>55318443</v>
      </c>
      <c r="D6" s="289">
        <v>55380134</v>
      </c>
      <c r="E6" s="289">
        <v>55604223</v>
      </c>
      <c r="F6" s="289">
        <v>55775216</v>
      </c>
      <c r="G6" s="289">
        <v>55901806</v>
      </c>
      <c r="H6" s="289">
        <v>56006011</v>
      </c>
      <c r="I6" s="289">
        <v>56034684</v>
      </c>
      <c r="J6" s="289">
        <v>56042330</v>
      </c>
      <c r="K6" s="289">
        <v>56059240</v>
      </c>
      <c r="L6" s="289">
        <v>56046620</v>
      </c>
      <c r="M6" s="289">
        <v>55982803</v>
      </c>
    </row>
    <row r="7" spans="1:13" x14ac:dyDescent="0.2">
      <c r="A7" s="288" t="s">
        <v>616</v>
      </c>
      <c r="B7" s="289">
        <v>66927001</v>
      </c>
      <c r="C7" s="289">
        <v>66929725</v>
      </c>
      <c r="D7" s="289">
        <v>66974416</v>
      </c>
      <c r="E7" s="289">
        <v>67157800</v>
      </c>
      <c r="F7" s="289">
        <v>67336743</v>
      </c>
      <c r="G7" s="289">
        <v>67560379</v>
      </c>
      <c r="H7" s="289">
        <v>67745167</v>
      </c>
      <c r="I7" s="289">
        <v>67860583</v>
      </c>
      <c r="J7" s="289">
        <v>67987540</v>
      </c>
      <c r="K7" s="289">
        <v>68126781</v>
      </c>
      <c r="L7" s="289">
        <v>68236628</v>
      </c>
      <c r="M7" s="289">
        <v>68329004</v>
      </c>
    </row>
    <row r="8" spans="1:13" x14ac:dyDescent="0.2">
      <c r="A8" s="288" t="s">
        <v>617</v>
      </c>
      <c r="B8" s="289">
        <v>114555744</v>
      </c>
      <c r="C8" s="289">
        <v>114563030</v>
      </c>
      <c r="D8" s="289">
        <v>114866680</v>
      </c>
      <c r="E8" s="289">
        <v>116006522</v>
      </c>
      <c r="F8" s="289">
        <v>117241208</v>
      </c>
      <c r="G8" s="289">
        <v>118364400</v>
      </c>
      <c r="H8" s="289">
        <v>119624037</v>
      </c>
      <c r="I8" s="289">
        <v>120997341</v>
      </c>
      <c r="J8" s="289">
        <v>122351760</v>
      </c>
      <c r="K8" s="289">
        <v>123542189</v>
      </c>
      <c r="L8" s="289">
        <v>124569433</v>
      </c>
      <c r="M8" s="289">
        <v>125580448</v>
      </c>
    </row>
    <row r="9" spans="1:13" x14ac:dyDescent="0.2">
      <c r="A9" s="290" t="s">
        <v>618</v>
      </c>
      <c r="B9" s="291">
        <v>71945553</v>
      </c>
      <c r="C9" s="291">
        <v>71946907</v>
      </c>
      <c r="D9" s="291">
        <v>72100436</v>
      </c>
      <c r="E9" s="291">
        <v>72788329</v>
      </c>
      <c r="F9" s="291">
        <v>73477823</v>
      </c>
      <c r="G9" s="291">
        <v>74167130</v>
      </c>
      <c r="H9" s="291">
        <v>74925793</v>
      </c>
      <c r="I9" s="291">
        <v>75742555</v>
      </c>
      <c r="J9" s="291">
        <v>76559681</v>
      </c>
      <c r="K9" s="291">
        <v>77257329</v>
      </c>
      <c r="L9" s="291">
        <v>77834820</v>
      </c>
      <c r="M9" s="291">
        <v>78347268</v>
      </c>
    </row>
    <row r="10" spans="1:13" x14ac:dyDescent="0.2">
      <c r="A10" s="292" t="s">
        <v>173</v>
      </c>
      <c r="B10" s="289">
        <v>4779736</v>
      </c>
      <c r="C10" s="289">
        <v>4780125</v>
      </c>
      <c r="D10" s="289">
        <v>4785437</v>
      </c>
      <c r="E10" s="289">
        <v>4799069</v>
      </c>
      <c r="F10" s="289">
        <v>4815588</v>
      </c>
      <c r="G10" s="289">
        <v>4830081</v>
      </c>
      <c r="H10" s="289">
        <v>4841799</v>
      </c>
      <c r="I10" s="289">
        <v>4852347</v>
      </c>
      <c r="J10" s="289">
        <v>4863525</v>
      </c>
      <c r="K10" s="289">
        <v>4874486</v>
      </c>
      <c r="L10" s="289">
        <v>4887681</v>
      </c>
      <c r="M10" s="289">
        <v>4903185</v>
      </c>
    </row>
    <row r="11" spans="1:13" x14ac:dyDescent="0.2">
      <c r="A11" s="292" t="s">
        <v>174</v>
      </c>
      <c r="B11" s="289">
        <v>710231</v>
      </c>
      <c r="C11" s="289">
        <v>710249</v>
      </c>
      <c r="D11" s="289">
        <v>713910</v>
      </c>
      <c r="E11" s="289">
        <v>722128</v>
      </c>
      <c r="F11" s="289">
        <v>730443</v>
      </c>
      <c r="G11" s="289">
        <v>737068</v>
      </c>
      <c r="H11" s="289">
        <v>736283</v>
      </c>
      <c r="I11" s="289">
        <v>737498</v>
      </c>
      <c r="J11" s="289">
        <v>741456</v>
      </c>
      <c r="K11" s="289">
        <v>739700</v>
      </c>
      <c r="L11" s="289">
        <v>735139</v>
      </c>
      <c r="M11" s="289">
        <v>731545</v>
      </c>
    </row>
    <row r="12" spans="1:13" x14ac:dyDescent="0.2">
      <c r="A12" s="292" t="s">
        <v>175</v>
      </c>
      <c r="B12" s="289">
        <v>6392017</v>
      </c>
      <c r="C12" s="289">
        <v>6392288</v>
      </c>
      <c r="D12" s="289">
        <v>6407172</v>
      </c>
      <c r="E12" s="289">
        <v>6472643</v>
      </c>
      <c r="F12" s="289">
        <v>6554978</v>
      </c>
      <c r="G12" s="289">
        <v>6632764</v>
      </c>
      <c r="H12" s="289">
        <v>6730413</v>
      </c>
      <c r="I12" s="289">
        <v>6829676</v>
      </c>
      <c r="J12" s="289">
        <v>6941072</v>
      </c>
      <c r="K12" s="289">
        <v>7044008</v>
      </c>
      <c r="L12" s="289">
        <v>7158024</v>
      </c>
      <c r="M12" s="289">
        <v>7278717</v>
      </c>
    </row>
    <row r="13" spans="1:13" x14ac:dyDescent="0.2">
      <c r="A13" s="292" t="s">
        <v>176</v>
      </c>
      <c r="B13" s="289">
        <v>2915918</v>
      </c>
      <c r="C13" s="289">
        <v>2916031</v>
      </c>
      <c r="D13" s="289">
        <v>2921964</v>
      </c>
      <c r="E13" s="289">
        <v>2940667</v>
      </c>
      <c r="F13" s="289">
        <v>2952164</v>
      </c>
      <c r="G13" s="289">
        <v>2959400</v>
      </c>
      <c r="H13" s="289">
        <v>2967392</v>
      </c>
      <c r="I13" s="289">
        <v>2978048</v>
      </c>
      <c r="J13" s="289">
        <v>2989918</v>
      </c>
      <c r="K13" s="289">
        <v>3001345</v>
      </c>
      <c r="L13" s="289">
        <v>3009733</v>
      </c>
      <c r="M13" s="289">
        <v>3017804</v>
      </c>
    </row>
    <row r="14" spans="1:13" x14ac:dyDescent="0.2">
      <c r="A14" s="292" t="s">
        <v>177</v>
      </c>
      <c r="B14" s="289">
        <v>37253956</v>
      </c>
      <c r="C14" s="289">
        <v>37254519</v>
      </c>
      <c r="D14" s="289">
        <v>37319502</v>
      </c>
      <c r="E14" s="289">
        <v>37638369</v>
      </c>
      <c r="F14" s="289">
        <v>37948800</v>
      </c>
      <c r="G14" s="289">
        <v>38260787</v>
      </c>
      <c r="H14" s="289">
        <v>38596972</v>
      </c>
      <c r="I14" s="289">
        <v>38918045</v>
      </c>
      <c r="J14" s="289">
        <v>39167117</v>
      </c>
      <c r="K14" s="289">
        <v>39358497</v>
      </c>
      <c r="L14" s="289">
        <v>39461588</v>
      </c>
      <c r="M14" s="289">
        <v>39512223</v>
      </c>
    </row>
    <row r="15" spans="1:13" x14ac:dyDescent="0.2">
      <c r="A15" s="292" t="s">
        <v>178</v>
      </c>
      <c r="B15" s="289">
        <v>5029196</v>
      </c>
      <c r="C15" s="289">
        <v>5029319</v>
      </c>
      <c r="D15" s="289">
        <v>5047349</v>
      </c>
      <c r="E15" s="289">
        <v>5121108</v>
      </c>
      <c r="F15" s="289">
        <v>5192647</v>
      </c>
      <c r="G15" s="289">
        <v>5269035</v>
      </c>
      <c r="H15" s="289">
        <v>5350101</v>
      </c>
      <c r="I15" s="289">
        <v>5450623</v>
      </c>
      <c r="J15" s="289">
        <v>5539215</v>
      </c>
      <c r="K15" s="289">
        <v>5611885</v>
      </c>
      <c r="L15" s="289">
        <v>5691287</v>
      </c>
      <c r="M15" s="289">
        <v>5758736</v>
      </c>
    </row>
    <row r="16" spans="1:13" x14ac:dyDescent="0.2">
      <c r="A16" s="292" t="s">
        <v>179</v>
      </c>
      <c r="B16" s="289">
        <v>3574097</v>
      </c>
      <c r="C16" s="289">
        <v>3574147</v>
      </c>
      <c r="D16" s="289">
        <v>3579114</v>
      </c>
      <c r="E16" s="289">
        <v>3588283</v>
      </c>
      <c r="F16" s="289">
        <v>3594547</v>
      </c>
      <c r="G16" s="289">
        <v>3594841</v>
      </c>
      <c r="H16" s="289">
        <v>3594524</v>
      </c>
      <c r="I16" s="289">
        <v>3587122</v>
      </c>
      <c r="J16" s="289">
        <v>3578141</v>
      </c>
      <c r="K16" s="289">
        <v>3573297</v>
      </c>
      <c r="L16" s="289">
        <v>3571520</v>
      </c>
      <c r="M16" s="289">
        <v>3565287</v>
      </c>
    </row>
    <row r="17" spans="1:13" x14ac:dyDescent="0.2">
      <c r="A17" s="292" t="s">
        <v>180</v>
      </c>
      <c r="B17" s="289">
        <v>897934</v>
      </c>
      <c r="C17" s="289">
        <v>897937</v>
      </c>
      <c r="D17" s="289">
        <v>899593</v>
      </c>
      <c r="E17" s="289">
        <v>907381</v>
      </c>
      <c r="F17" s="289">
        <v>915179</v>
      </c>
      <c r="G17" s="289">
        <v>923576</v>
      </c>
      <c r="H17" s="289">
        <v>932487</v>
      </c>
      <c r="I17" s="289">
        <v>941252</v>
      </c>
      <c r="J17" s="289">
        <v>948921</v>
      </c>
      <c r="K17" s="289">
        <v>956823</v>
      </c>
      <c r="L17" s="289">
        <v>965479</v>
      </c>
      <c r="M17" s="289">
        <v>973764</v>
      </c>
    </row>
    <row r="18" spans="1:13" x14ac:dyDescent="0.2">
      <c r="A18" s="292" t="s">
        <v>181</v>
      </c>
      <c r="B18" s="289">
        <v>601723</v>
      </c>
      <c r="C18" s="289">
        <v>601767</v>
      </c>
      <c r="D18" s="289">
        <v>605226</v>
      </c>
      <c r="E18" s="289">
        <v>619800</v>
      </c>
      <c r="F18" s="289">
        <v>634924</v>
      </c>
      <c r="G18" s="289">
        <v>650581</v>
      </c>
      <c r="H18" s="289">
        <v>662328</v>
      </c>
      <c r="I18" s="289">
        <v>675400</v>
      </c>
      <c r="J18" s="289">
        <v>685815</v>
      </c>
      <c r="K18" s="289">
        <v>694906</v>
      </c>
      <c r="L18" s="289">
        <v>701547</v>
      </c>
      <c r="M18" s="289">
        <v>705749</v>
      </c>
    </row>
    <row r="19" spans="1:13" x14ac:dyDescent="0.2">
      <c r="A19" s="292" t="s">
        <v>182</v>
      </c>
      <c r="B19" s="289">
        <v>18801310</v>
      </c>
      <c r="C19" s="289">
        <v>18804564</v>
      </c>
      <c r="D19" s="289">
        <v>18845537</v>
      </c>
      <c r="E19" s="289">
        <v>19053237</v>
      </c>
      <c r="F19" s="289">
        <v>19297822</v>
      </c>
      <c r="G19" s="289">
        <v>19545621</v>
      </c>
      <c r="H19" s="289">
        <v>19845911</v>
      </c>
      <c r="I19" s="289">
        <v>20209042</v>
      </c>
      <c r="J19" s="289">
        <v>20613477</v>
      </c>
      <c r="K19" s="289">
        <v>20963613</v>
      </c>
      <c r="L19" s="289">
        <v>21244317</v>
      </c>
      <c r="M19" s="289">
        <v>21477737</v>
      </c>
    </row>
    <row r="20" spans="1:13" x14ac:dyDescent="0.2">
      <c r="A20" s="292" t="s">
        <v>183</v>
      </c>
      <c r="B20" s="289">
        <v>9687653</v>
      </c>
      <c r="C20" s="289">
        <v>9688729</v>
      </c>
      <c r="D20" s="289">
        <v>9711881</v>
      </c>
      <c r="E20" s="289">
        <v>9802431</v>
      </c>
      <c r="F20" s="289">
        <v>9901430</v>
      </c>
      <c r="G20" s="289">
        <v>9972479</v>
      </c>
      <c r="H20" s="289">
        <v>10067278</v>
      </c>
      <c r="I20" s="289">
        <v>10178447</v>
      </c>
      <c r="J20" s="289">
        <v>10301890</v>
      </c>
      <c r="K20" s="289">
        <v>10410330</v>
      </c>
      <c r="L20" s="289">
        <v>10511131</v>
      </c>
      <c r="M20" s="289">
        <v>10617423</v>
      </c>
    </row>
    <row r="21" spans="1:13" x14ac:dyDescent="0.2">
      <c r="A21" s="292" t="s">
        <v>184</v>
      </c>
      <c r="B21" s="289">
        <v>1360301</v>
      </c>
      <c r="C21" s="289">
        <v>1360307</v>
      </c>
      <c r="D21" s="289">
        <v>1363963</v>
      </c>
      <c r="E21" s="289">
        <v>1379329</v>
      </c>
      <c r="F21" s="289">
        <v>1394804</v>
      </c>
      <c r="G21" s="289">
        <v>1408243</v>
      </c>
      <c r="H21" s="289">
        <v>1414538</v>
      </c>
      <c r="I21" s="289">
        <v>1422052</v>
      </c>
      <c r="J21" s="289">
        <v>1427559</v>
      </c>
      <c r="K21" s="289">
        <v>1424393</v>
      </c>
      <c r="L21" s="289">
        <v>1420593</v>
      </c>
      <c r="M21" s="289">
        <v>1415872</v>
      </c>
    </row>
    <row r="22" spans="1:13" x14ac:dyDescent="0.2">
      <c r="A22" s="292" t="s">
        <v>185</v>
      </c>
      <c r="B22" s="289">
        <v>1567582</v>
      </c>
      <c r="C22" s="289">
        <v>1567657</v>
      </c>
      <c r="D22" s="289">
        <v>1570746</v>
      </c>
      <c r="E22" s="289">
        <v>1583910</v>
      </c>
      <c r="F22" s="289">
        <v>1595324</v>
      </c>
      <c r="G22" s="289">
        <v>1611206</v>
      </c>
      <c r="H22" s="289">
        <v>1631112</v>
      </c>
      <c r="I22" s="289">
        <v>1651059</v>
      </c>
      <c r="J22" s="289">
        <v>1682380</v>
      </c>
      <c r="K22" s="289">
        <v>1717715</v>
      </c>
      <c r="L22" s="289">
        <v>1750536</v>
      </c>
      <c r="M22" s="289">
        <v>1787065</v>
      </c>
    </row>
    <row r="23" spans="1:13" x14ac:dyDescent="0.2">
      <c r="A23" s="292" t="s">
        <v>186</v>
      </c>
      <c r="B23" s="289">
        <v>12830632</v>
      </c>
      <c r="C23" s="289">
        <v>12831572</v>
      </c>
      <c r="D23" s="289">
        <v>12840503</v>
      </c>
      <c r="E23" s="289">
        <v>12867454</v>
      </c>
      <c r="F23" s="289">
        <v>12882510</v>
      </c>
      <c r="G23" s="289">
        <v>12895129</v>
      </c>
      <c r="H23" s="289">
        <v>12884493</v>
      </c>
      <c r="I23" s="289">
        <v>12858913</v>
      </c>
      <c r="J23" s="289">
        <v>12820527</v>
      </c>
      <c r="K23" s="289">
        <v>12778828</v>
      </c>
      <c r="L23" s="289">
        <v>12723071</v>
      </c>
      <c r="M23" s="289">
        <v>12671821</v>
      </c>
    </row>
    <row r="24" spans="1:13" x14ac:dyDescent="0.2">
      <c r="A24" s="292" t="s">
        <v>187</v>
      </c>
      <c r="B24" s="289">
        <v>6483802</v>
      </c>
      <c r="C24" s="289">
        <v>6484051</v>
      </c>
      <c r="D24" s="289">
        <v>6490432</v>
      </c>
      <c r="E24" s="289">
        <v>6516528</v>
      </c>
      <c r="F24" s="289">
        <v>6537703</v>
      </c>
      <c r="G24" s="289">
        <v>6568713</v>
      </c>
      <c r="H24" s="289">
        <v>6593644</v>
      </c>
      <c r="I24" s="289">
        <v>6608422</v>
      </c>
      <c r="J24" s="289">
        <v>6634304</v>
      </c>
      <c r="K24" s="289">
        <v>6658078</v>
      </c>
      <c r="L24" s="289">
        <v>6695497</v>
      </c>
      <c r="M24" s="289">
        <v>6732219</v>
      </c>
    </row>
    <row r="25" spans="1:13" x14ac:dyDescent="0.2">
      <c r="A25" s="292" t="s">
        <v>188</v>
      </c>
      <c r="B25" s="289">
        <v>3046355</v>
      </c>
      <c r="C25" s="289">
        <v>3046871</v>
      </c>
      <c r="D25" s="289">
        <v>3050745</v>
      </c>
      <c r="E25" s="289">
        <v>3066336</v>
      </c>
      <c r="F25" s="289">
        <v>3076190</v>
      </c>
      <c r="G25" s="289">
        <v>3092997</v>
      </c>
      <c r="H25" s="289">
        <v>3109350</v>
      </c>
      <c r="I25" s="289">
        <v>3120960</v>
      </c>
      <c r="J25" s="289">
        <v>3131371</v>
      </c>
      <c r="K25" s="289">
        <v>3141550</v>
      </c>
      <c r="L25" s="289">
        <v>3148618</v>
      </c>
      <c r="M25" s="289">
        <v>3155070</v>
      </c>
    </row>
    <row r="26" spans="1:13" x14ac:dyDescent="0.2">
      <c r="A26" s="292" t="s">
        <v>189</v>
      </c>
      <c r="B26" s="289">
        <v>2853118</v>
      </c>
      <c r="C26" s="289">
        <v>2853123</v>
      </c>
      <c r="D26" s="289">
        <v>2858190</v>
      </c>
      <c r="E26" s="289">
        <v>2869225</v>
      </c>
      <c r="F26" s="289">
        <v>2885257</v>
      </c>
      <c r="G26" s="289">
        <v>2893212</v>
      </c>
      <c r="H26" s="289">
        <v>2900475</v>
      </c>
      <c r="I26" s="289">
        <v>2909011</v>
      </c>
      <c r="J26" s="289">
        <v>2910844</v>
      </c>
      <c r="K26" s="289">
        <v>2908718</v>
      </c>
      <c r="L26" s="289">
        <v>2911359</v>
      </c>
      <c r="M26" s="289">
        <v>2913314</v>
      </c>
    </row>
    <row r="27" spans="1:13" x14ac:dyDescent="0.2">
      <c r="A27" s="292" t="s">
        <v>190</v>
      </c>
      <c r="B27" s="289">
        <v>4339367</v>
      </c>
      <c r="C27" s="289">
        <v>4339333</v>
      </c>
      <c r="D27" s="289">
        <v>4348181</v>
      </c>
      <c r="E27" s="289">
        <v>4369821</v>
      </c>
      <c r="F27" s="289">
        <v>4386346</v>
      </c>
      <c r="G27" s="289">
        <v>4404659</v>
      </c>
      <c r="H27" s="289">
        <v>4414349</v>
      </c>
      <c r="I27" s="289">
        <v>4425976</v>
      </c>
      <c r="J27" s="289">
        <v>4438182</v>
      </c>
      <c r="K27" s="289">
        <v>4452268</v>
      </c>
      <c r="L27" s="289">
        <v>4461153</v>
      </c>
      <c r="M27" s="289">
        <v>4467673</v>
      </c>
    </row>
    <row r="28" spans="1:13" x14ac:dyDescent="0.2">
      <c r="A28" s="292" t="s">
        <v>191</v>
      </c>
      <c r="B28" s="289">
        <v>4533372</v>
      </c>
      <c r="C28" s="289">
        <v>4533487</v>
      </c>
      <c r="D28" s="289">
        <v>4544532</v>
      </c>
      <c r="E28" s="289">
        <v>4575625</v>
      </c>
      <c r="F28" s="289">
        <v>4600972</v>
      </c>
      <c r="G28" s="289">
        <v>4624527</v>
      </c>
      <c r="H28" s="289">
        <v>4644013</v>
      </c>
      <c r="I28" s="289">
        <v>4664628</v>
      </c>
      <c r="J28" s="289">
        <v>4678135</v>
      </c>
      <c r="K28" s="289">
        <v>4670560</v>
      </c>
      <c r="L28" s="289">
        <v>4659690</v>
      </c>
      <c r="M28" s="289">
        <v>4648794</v>
      </c>
    </row>
    <row r="29" spans="1:13" x14ac:dyDescent="0.2">
      <c r="A29" s="292" t="s">
        <v>192</v>
      </c>
      <c r="B29" s="289">
        <v>1328361</v>
      </c>
      <c r="C29" s="289">
        <v>1328358</v>
      </c>
      <c r="D29" s="289">
        <v>1327629</v>
      </c>
      <c r="E29" s="289">
        <v>1328284</v>
      </c>
      <c r="F29" s="289">
        <v>1327729</v>
      </c>
      <c r="G29" s="289">
        <v>1328009</v>
      </c>
      <c r="H29" s="289">
        <v>1330513</v>
      </c>
      <c r="I29" s="289">
        <v>1328262</v>
      </c>
      <c r="J29" s="289">
        <v>1331317</v>
      </c>
      <c r="K29" s="289">
        <v>1334612</v>
      </c>
      <c r="L29" s="289">
        <v>1339057</v>
      </c>
      <c r="M29" s="289">
        <v>1344212</v>
      </c>
    </row>
    <row r="30" spans="1:13" x14ac:dyDescent="0.2">
      <c r="A30" s="292" t="s">
        <v>193</v>
      </c>
      <c r="B30" s="289">
        <v>5773552</v>
      </c>
      <c r="C30" s="289">
        <v>5773794</v>
      </c>
      <c r="D30" s="289">
        <v>5788645</v>
      </c>
      <c r="E30" s="289">
        <v>5839419</v>
      </c>
      <c r="F30" s="289">
        <v>5886992</v>
      </c>
      <c r="G30" s="289">
        <v>5923188</v>
      </c>
      <c r="H30" s="289">
        <v>5957283</v>
      </c>
      <c r="I30" s="289">
        <v>5985562</v>
      </c>
      <c r="J30" s="289">
        <v>6003323</v>
      </c>
      <c r="K30" s="289">
        <v>6023868</v>
      </c>
      <c r="L30" s="289">
        <v>6035802</v>
      </c>
      <c r="M30" s="289">
        <v>6045680</v>
      </c>
    </row>
    <row r="31" spans="1:13" x14ac:dyDescent="0.2">
      <c r="A31" s="292" t="s">
        <v>194</v>
      </c>
      <c r="B31" s="289">
        <v>6547629</v>
      </c>
      <c r="C31" s="289">
        <v>6547785</v>
      </c>
      <c r="D31" s="289">
        <v>6566307</v>
      </c>
      <c r="E31" s="289">
        <v>6613583</v>
      </c>
      <c r="F31" s="289">
        <v>6663005</v>
      </c>
      <c r="G31" s="289">
        <v>6713315</v>
      </c>
      <c r="H31" s="289">
        <v>6762596</v>
      </c>
      <c r="I31" s="289">
        <v>6794228</v>
      </c>
      <c r="J31" s="289">
        <v>6823608</v>
      </c>
      <c r="K31" s="289">
        <v>6859789</v>
      </c>
      <c r="L31" s="289">
        <v>6882635</v>
      </c>
      <c r="M31" s="289">
        <v>6892503</v>
      </c>
    </row>
    <row r="32" spans="1:13" x14ac:dyDescent="0.2">
      <c r="A32" s="292" t="s">
        <v>195</v>
      </c>
      <c r="B32" s="289">
        <v>9883640</v>
      </c>
      <c r="C32" s="289">
        <v>9884116</v>
      </c>
      <c r="D32" s="289">
        <v>9877510</v>
      </c>
      <c r="E32" s="289">
        <v>9882412</v>
      </c>
      <c r="F32" s="289">
        <v>9897145</v>
      </c>
      <c r="G32" s="289">
        <v>9913065</v>
      </c>
      <c r="H32" s="289">
        <v>9929848</v>
      </c>
      <c r="I32" s="289">
        <v>9931715</v>
      </c>
      <c r="J32" s="289">
        <v>9950571</v>
      </c>
      <c r="K32" s="289">
        <v>9973114</v>
      </c>
      <c r="L32" s="289">
        <v>9984072</v>
      </c>
      <c r="M32" s="289">
        <v>9986857</v>
      </c>
    </row>
    <row r="33" spans="1:13" x14ac:dyDescent="0.2">
      <c r="A33" s="292" t="s">
        <v>196</v>
      </c>
      <c r="B33" s="289">
        <v>5303925</v>
      </c>
      <c r="C33" s="289">
        <v>5303927</v>
      </c>
      <c r="D33" s="289">
        <v>5310828</v>
      </c>
      <c r="E33" s="289">
        <v>5346143</v>
      </c>
      <c r="F33" s="289">
        <v>5376643</v>
      </c>
      <c r="G33" s="289">
        <v>5413479</v>
      </c>
      <c r="H33" s="289">
        <v>5451079</v>
      </c>
      <c r="I33" s="289">
        <v>5482032</v>
      </c>
      <c r="J33" s="289">
        <v>5522744</v>
      </c>
      <c r="K33" s="289">
        <v>5566230</v>
      </c>
      <c r="L33" s="289">
        <v>5606249</v>
      </c>
      <c r="M33" s="289">
        <v>5639632</v>
      </c>
    </row>
    <row r="34" spans="1:13" x14ac:dyDescent="0.2">
      <c r="A34" s="292" t="s">
        <v>197</v>
      </c>
      <c r="B34" s="289">
        <v>2967297</v>
      </c>
      <c r="C34" s="289">
        <v>2968130</v>
      </c>
      <c r="D34" s="289">
        <v>2970548</v>
      </c>
      <c r="E34" s="289">
        <v>2978731</v>
      </c>
      <c r="F34" s="289">
        <v>2983816</v>
      </c>
      <c r="G34" s="289">
        <v>2988711</v>
      </c>
      <c r="H34" s="289">
        <v>2990468</v>
      </c>
      <c r="I34" s="289">
        <v>2988471</v>
      </c>
      <c r="J34" s="289">
        <v>2987938</v>
      </c>
      <c r="K34" s="289">
        <v>2988510</v>
      </c>
      <c r="L34" s="289">
        <v>2981020</v>
      </c>
      <c r="M34" s="289">
        <v>2976149</v>
      </c>
    </row>
    <row r="35" spans="1:13" x14ac:dyDescent="0.2">
      <c r="A35" s="292" t="s">
        <v>198</v>
      </c>
      <c r="B35" s="289">
        <v>5988927</v>
      </c>
      <c r="C35" s="289">
        <v>5988950</v>
      </c>
      <c r="D35" s="289">
        <v>5995974</v>
      </c>
      <c r="E35" s="289">
        <v>6010275</v>
      </c>
      <c r="F35" s="289">
        <v>6024367</v>
      </c>
      <c r="G35" s="289">
        <v>6040715</v>
      </c>
      <c r="H35" s="289">
        <v>6056202</v>
      </c>
      <c r="I35" s="289">
        <v>6071732</v>
      </c>
      <c r="J35" s="289">
        <v>6087135</v>
      </c>
      <c r="K35" s="289">
        <v>6106670</v>
      </c>
      <c r="L35" s="289">
        <v>6121623</v>
      </c>
      <c r="M35" s="289">
        <v>6137428</v>
      </c>
    </row>
    <row r="36" spans="1:13" x14ac:dyDescent="0.2">
      <c r="A36" s="292" t="s">
        <v>199</v>
      </c>
      <c r="B36" s="289">
        <v>989415</v>
      </c>
      <c r="C36" s="289">
        <v>989407</v>
      </c>
      <c r="D36" s="289">
        <v>990697</v>
      </c>
      <c r="E36" s="289">
        <v>997316</v>
      </c>
      <c r="F36" s="289">
        <v>1003783</v>
      </c>
      <c r="G36" s="289">
        <v>1013569</v>
      </c>
      <c r="H36" s="289">
        <v>1021869</v>
      </c>
      <c r="I36" s="289">
        <v>1030475</v>
      </c>
      <c r="J36" s="289">
        <v>1040859</v>
      </c>
      <c r="K36" s="289">
        <v>1052482</v>
      </c>
      <c r="L36" s="289">
        <v>1060665</v>
      </c>
      <c r="M36" s="289">
        <v>1068778</v>
      </c>
    </row>
    <row r="37" spans="1:13" x14ac:dyDescent="0.2">
      <c r="A37" s="292" t="s">
        <v>200</v>
      </c>
      <c r="B37" s="289">
        <v>1826341</v>
      </c>
      <c r="C37" s="289">
        <v>1826305</v>
      </c>
      <c r="D37" s="289">
        <v>1829542</v>
      </c>
      <c r="E37" s="289">
        <v>1840672</v>
      </c>
      <c r="F37" s="289">
        <v>1853303</v>
      </c>
      <c r="G37" s="289">
        <v>1865279</v>
      </c>
      <c r="H37" s="289">
        <v>1879321</v>
      </c>
      <c r="I37" s="289">
        <v>1891277</v>
      </c>
      <c r="J37" s="289">
        <v>1905616</v>
      </c>
      <c r="K37" s="289">
        <v>1915947</v>
      </c>
      <c r="L37" s="289">
        <v>1925614</v>
      </c>
      <c r="M37" s="289">
        <v>1934408</v>
      </c>
    </row>
    <row r="38" spans="1:13" x14ac:dyDescent="0.2">
      <c r="A38" s="292" t="s">
        <v>201</v>
      </c>
      <c r="B38" s="289">
        <v>2700551</v>
      </c>
      <c r="C38" s="289">
        <v>2700677</v>
      </c>
      <c r="D38" s="289">
        <v>2702405</v>
      </c>
      <c r="E38" s="289">
        <v>2712730</v>
      </c>
      <c r="F38" s="289">
        <v>2743996</v>
      </c>
      <c r="G38" s="289">
        <v>2775970</v>
      </c>
      <c r="H38" s="289">
        <v>2817628</v>
      </c>
      <c r="I38" s="289">
        <v>2866939</v>
      </c>
      <c r="J38" s="289">
        <v>2917563</v>
      </c>
      <c r="K38" s="289">
        <v>2969905</v>
      </c>
      <c r="L38" s="289">
        <v>3027341</v>
      </c>
      <c r="M38" s="289">
        <v>3080156</v>
      </c>
    </row>
    <row r="39" spans="1:13" x14ac:dyDescent="0.2">
      <c r="A39" s="292" t="s">
        <v>202</v>
      </c>
      <c r="B39" s="289">
        <v>1316470</v>
      </c>
      <c r="C39" s="289">
        <v>1316462</v>
      </c>
      <c r="D39" s="289">
        <v>1316762</v>
      </c>
      <c r="E39" s="289">
        <v>1320202</v>
      </c>
      <c r="F39" s="289">
        <v>1324232</v>
      </c>
      <c r="G39" s="289">
        <v>1326622</v>
      </c>
      <c r="H39" s="289">
        <v>1333341</v>
      </c>
      <c r="I39" s="289">
        <v>1336350</v>
      </c>
      <c r="J39" s="289">
        <v>1342307</v>
      </c>
      <c r="K39" s="289">
        <v>1348787</v>
      </c>
      <c r="L39" s="289">
        <v>1353465</v>
      </c>
      <c r="M39" s="289">
        <v>1359711</v>
      </c>
    </row>
    <row r="40" spans="1:13" x14ac:dyDescent="0.2">
      <c r="A40" s="292" t="s">
        <v>203</v>
      </c>
      <c r="B40" s="289">
        <v>8791894</v>
      </c>
      <c r="C40" s="289">
        <v>8791978</v>
      </c>
      <c r="D40" s="289">
        <v>8799446</v>
      </c>
      <c r="E40" s="289">
        <v>8828117</v>
      </c>
      <c r="F40" s="289">
        <v>8844942</v>
      </c>
      <c r="G40" s="289">
        <v>8856972</v>
      </c>
      <c r="H40" s="289">
        <v>8864525</v>
      </c>
      <c r="I40" s="289">
        <v>8867949</v>
      </c>
      <c r="J40" s="289">
        <v>8870827</v>
      </c>
      <c r="K40" s="289">
        <v>8885525</v>
      </c>
      <c r="L40" s="289">
        <v>8886025</v>
      </c>
      <c r="M40" s="289">
        <v>8882190</v>
      </c>
    </row>
    <row r="41" spans="1:13" x14ac:dyDescent="0.2">
      <c r="A41" s="292" t="s">
        <v>204</v>
      </c>
      <c r="B41" s="289">
        <v>2059179</v>
      </c>
      <c r="C41" s="289">
        <v>2059199</v>
      </c>
      <c r="D41" s="289">
        <v>2064552</v>
      </c>
      <c r="E41" s="289">
        <v>2080450</v>
      </c>
      <c r="F41" s="289">
        <v>2087309</v>
      </c>
      <c r="G41" s="289">
        <v>2092273</v>
      </c>
      <c r="H41" s="289">
        <v>2089568</v>
      </c>
      <c r="I41" s="289">
        <v>2089291</v>
      </c>
      <c r="J41" s="289">
        <v>2091630</v>
      </c>
      <c r="K41" s="289">
        <v>2091784</v>
      </c>
      <c r="L41" s="289">
        <v>2092741</v>
      </c>
      <c r="M41" s="289">
        <v>2096829</v>
      </c>
    </row>
    <row r="42" spans="1:13" x14ac:dyDescent="0.2">
      <c r="A42" s="292" t="s">
        <v>205</v>
      </c>
      <c r="B42" s="289">
        <v>19378102</v>
      </c>
      <c r="C42" s="289">
        <v>19378144</v>
      </c>
      <c r="D42" s="289">
        <v>19399878</v>
      </c>
      <c r="E42" s="289">
        <v>19499241</v>
      </c>
      <c r="F42" s="289">
        <v>19572932</v>
      </c>
      <c r="G42" s="289">
        <v>19624447</v>
      </c>
      <c r="H42" s="289">
        <v>19651049</v>
      </c>
      <c r="I42" s="289">
        <v>19654666</v>
      </c>
      <c r="J42" s="289">
        <v>19633428</v>
      </c>
      <c r="K42" s="289">
        <v>19589572</v>
      </c>
      <c r="L42" s="289">
        <v>19530351</v>
      </c>
      <c r="M42" s="289">
        <v>19453561</v>
      </c>
    </row>
    <row r="43" spans="1:13" x14ac:dyDescent="0.2">
      <c r="A43" s="292" t="s">
        <v>206</v>
      </c>
      <c r="B43" s="289">
        <v>9535483</v>
      </c>
      <c r="C43" s="289">
        <v>9535751</v>
      </c>
      <c r="D43" s="289">
        <v>9574323</v>
      </c>
      <c r="E43" s="289">
        <v>9657592</v>
      </c>
      <c r="F43" s="289">
        <v>9749476</v>
      </c>
      <c r="G43" s="289">
        <v>9843336</v>
      </c>
      <c r="H43" s="289">
        <v>9932887</v>
      </c>
      <c r="I43" s="289">
        <v>10031646</v>
      </c>
      <c r="J43" s="289">
        <v>10154788</v>
      </c>
      <c r="K43" s="289">
        <v>10268233</v>
      </c>
      <c r="L43" s="289">
        <v>10381615</v>
      </c>
      <c r="M43" s="289">
        <v>10488084</v>
      </c>
    </row>
    <row r="44" spans="1:13" x14ac:dyDescent="0.2">
      <c r="A44" s="292" t="s">
        <v>207</v>
      </c>
      <c r="B44" s="289">
        <v>672591</v>
      </c>
      <c r="C44" s="289">
        <v>672576</v>
      </c>
      <c r="D44" s="289">
        <v>674715</v>
      </c>
      <c r="E44" s="289">
        <v>685225</v>
      </c>
      <c r="F44" s="289">
        <v>701176</v>
      </c>
      <c r="G44" s="289">
        <v>722036</v>
      </c>
      <c r="H44" s="289">
        <v>737401</v>
      </c>
      <c r="I44" s="289">
        <v>754066</v>
      </c>
      <c r="J44" s="289">
        <v>754434</v>
      </c>
      <c r="K44" s="289">
        <v>754942</v>
      </c>
      <c r="L44" s="289">
        <v>758080</v>
      </c>
      <c r="M44" s="289">
        <v>762062</v>
      </c>
    </row>
    <row r="45" spans="1:13" x14ac:dyDescent="0.2">
      <c r="A45" s="292" t="s">
        <v>208</v>
      </c>
      <c r="B45" s="289">
        <v>11536504</v>
      </c>
      <c r="C45" s="289">
        <v>11536751</v>
      </c>
      <c r="D45" s="289">
        <v>11539336</v>
      </c>
      <c r="E45" s="289">
        <v>11544663</v>
      </c>
      <c r="F45" s="289">
        <v>11548923</v>
      </c>
      <c r="G45" s="289">
        <v>11576684</v>
      </c>
      <c r="H45" s="289">
        <v>11602700</v>
      </c>
      <c r="I45" s="289">
        <v>11617527</v>
      </c>
      <c r="J45" s="289">
        <v>11634370</v>
      </c>
      <c r="K45" s="289">
        <v>11659650</v>
      </c>
      <c r="L45" s="289">
        <v>11676341</v>
      </c>
      <c r="M45" s="289">
        <v>11689100</v>
      </c>
    </row>
    <row r="46" spans="1:13" x14ac:dyDescent="0.2">
      <c r="A46" s="292" t="s">
        <v>209</v>
      </c>
      <c r="B46" s="289">
        <v>3751351</v>
      </c>
      <c r="C46" s="289">
        <v>3751582</v>
      </c>
      <c r="D46" s="289">
        <v>3759944</v>
      </c>
      <c r="E46" s="289">
        <v>3788379</v>
      </c>
      <c r="F46" s="289">
        <v>3818814</v>
      </c>
      <c r="G46" s="289">
        <v>3853214</v>
      </c>
      <c r="H46" s="289">
        <v>3878187</v>
      </c>
      <c r="I46" s="289">
        <v>3909500</v>
      </c>
      <c r="J46" s="289">
        <v>3926331</v>
      </c>
      <c r="K46" s="289">
        <v>3931316</v>
      </c>
      <c r="L46" s="289">
        <v>3940235</v>
      </c>
      <c r="M46" s="289">
        <v>3956971</v>
      </c>
    </row>
    <row r="47" spans="1:13" x14ac:dyDescent="0.2">
      <c r="A47" s="292" t="s">
        <v>210</v>
      </c>
      <c r="B47" s="289">
        <v>3831074</v>
      </c>
      <c r="C47" s="289">
        <v>3831079</v>
      </c>
      <c r="D47" s="289">
        <v>3837491</v>
      </c>
      <c r="E47" s="289">
        <v>3872036</v>
      </c>
      <c r="F47" s="289">
        <v>3899001</v>
      </c>
      <c r="G47" s="289">
        <v>3922468</v>
      </c>
      <c r="H47" s="289">
        <v>3963244</v>
      </c>
      <c r="I47" s="289">
        <v>4015792</v>
      </c>
      <c r="J47" s="289">
        <v>4089976</v>
      </c>
      <c r="K47" s="289">
        <v>4143625</v>
      </c>
      <c r="L47" s="289">
        <v>4181886</v>
      </c>
      <c r="M47" s="289">
        <v>4217737</v>
      </c>
    </row>
    <row r="48" spans="1:13" x14ac:dyDescent="0.2">
      <c r="A48" s="292" t="s">
        <v>211</v>
      </c>
      <c r="B48" s="289">
        <v>12702379</v>
      </c>
      <c r="C48" s="289">
        <v>12702868</v>
      </c>
      <c r="D48" s="289">
        <v>12711160</v>
      </c>
      <c r="E48" s="289">
        <v>12745815</v>
      </c>
      <c r="F48" s="289">
        <v>12767118</v>
      </c>
      <c r="G48" s="289">
        <v>12776309</v>
      </c>
      <c r="H48" s="289">
        <v>12788313</v>
      </c>
      <c r="I48" s="289">
        <v>12784826</v>
      </c>
      <c r="J48" s="289">
        <v>12782275</v>
      </c>
      <c r="K48" s="289">
        <v>12787641</v>
      </c>
      <c r="L48" s="289">
        <v>12800922</v>
      </c>
      <c r="M48" s="289">
        <v>12801989</v>
      </c>
    </row>
    <row r="49" spans="1:13" x14ac:dyDescent="0.2">
      <c r="A49" s="292" t="s">
        <v>212</v>
      </c>
      <c r="B49" s="289">
        <v>1052567</v>
      </c>
      <c r="C49" s="289">
        <v>1052964</v>
      </c>
      <c r="D49" s="289">
        <v>1053959</v>
      </c>
      <c r="E49" s="289">
        <v>1053649</v>
      </c>
      <c r="F49" s="289">
        <v>1054621</v>
      </c>
      <c r="G49" s="289">
        <v>1055081</v>
      </c>
      <c r="H49" s="289">
        <v>1055936</v>
      </c>
      <c r="I49" s="289">
        <v>1056065</v>
      </c>
      <c r="J49" s="289">
        <v>1056770</v>
      </c>
      <c r="K49" s="289">
        <v>1055673</v>
      </c>
      <c r="L49" s="289">
        <v>1058287</v>
      </c>
      <c r="M49" s="289">
        <v>1059361</v>
      </c>
    </row>
    <row r="50" spans="1:13" x14ac:dyDescent="0.2">
      <c r="A50" s="292" t="s">
        <v>213</v>
      </c>
      <c r="B50" s="289">
        <v>4625364</v>
      </c>
      <c r="C50" s="289">
        <v>4625366</v>
      </c>
      <c r="D50" s="289">
        <v>4635649</v>
      </c>
      <c r="E50" s="289">
        <v>4671994</v>
      </c>
      <c r="F50" s="289">
        <v>4717354</v>
      </c>
      <c r="G50" s="289">
        <v>4764080</v>
      </c>
      <c r="H50" s="289">
        <v>4823617</v>
      </c>
      <c r="I50" s="289">
        <v>4891938</v>
      </c>
      <c r="J50" s="289">
        <v>4957968</v>
      </c>
      <c r="K50" s="289">
        <v>5021268</v>
      </c>
      <c r="L50" s="289">
        <v>5084156</v>
      </c>
      <c r="M50" s="289">
        <v>5148714</v>
      </c>
    </row>
    <row r="51" spans="1:13" x14ac:dyDescent="0.2">
      <c r="A51" s="292" t="s">
        <v>214</v>
      </c>
      <c r="B51" s="289">
        <v>814180</v>
      </c>
      <c r="C51" s="289">
        <v>814198</v>
      </c>
      <c r="D51" s="289">
        <v>816166</v>
      </c>
      <c r="E51" s="289">
        <v>823579</v>
      </c>
      <c r="F51" s="289">
        <v>833566</v>
      </c>
      <c r="G51" s="289">
        <v>842316</v>
      </c>
      <c r="H51" s="289">
        <v>849129</v>
      </c>
      <c r="I51" s="289">
        <v>853988</v>
      </c>
      <c r="J51" s="289">
        <v>862996</v>
      </c>
      <c r="K51" s="289">
        <v>872868</v>
      </c>
      <c r="L51" s="289">
        <v>878698</v>
      </c>
      <c r="M51" s="289">
        <v>884659</v>
      </c>
    </row>
    <row r="52" spans="1:13" x14ac:dyDescent="0.2">
      <c r="A52" s="292" t="s">
        <v>215</v>
      </c>
      <c r="B52" s="289">
        <v>6346105</v>
      </c>
      <c r="C52" s="289">
        <v>6346276</v>
      </c>
      <c r="D52" s="289">
        <v>6355311</v>
      </c>
      <c r="E52" s="289">
        <v>6399291</v>
      </c>
      <c r="F52" s="289">
        <v>6453898</v>
      </c>
      <c r="G52" s="289">
        <v>6494340</v>
      </c>
      <c r="H52" s="289">
        <v>6541223</v>
      </c>
      <c r="I52" s="289">
        <v>6591170</v>
      </c>
      <c r="J52" s="289">
        <v>6646010</v>
      </c>
      <c r="K52" s="289">
        <v>6708799</v>
      </c>
      <c r="L52" s="289">
        <v>6771631</v>
      </c>
      <c r="M52" s="289">
        <v>6829174</v>
      </c>
    </row>
    <row r="53" spans="1:13" x14ac:dyDescent="0.2">
      <c r="A53" s="293" t="s">
        <v>216</v>
      </c>
      <c r="B53" s="289">
        <v>25145561</v>
      </c>
      <c r="C53" s="289">
        <v>25146091</v>
      </c>
      <c r="D53" s="289">
        <v>25241971</v>
      </c>
      <c r="E53" s="289">
        <v>25645629</v>
      </c>
      <c r="F53" s="289">
        <v>26084481</v>
      </c>
      <c r="G53" s="289">
        <v>26480266</v>
      </c>
      <c r="H53" s="289">
        <v>26964333</v>
      </c>
      <c r="I53" s="289">
        <v>27470056</v>
      </c>
      <c r="J53" s="289">
        <v>27914410</v>
      </c>
      <c r="K53" s="289">
        <v>28295273</v>
      </c>
      <c r="L53" s="289">
        <v>28628666</v>
      </c>
      <c r="M53" s="289">
        <v>28995881</v>
      </c>
    </row>
    <row r="54" spans="1:13" x14ac:dyDescent="0.2">
      <c r="A54" s="292" t="s">
        <v>217</v>
      </c>
      <c r="B54" s="289">
        <v>2763885</v>
      </c>
      <c r="C54" s="289">
        <v>2763891</v>
      </c>
      <c r="D54" s="289">
        <v>2775332</v>
      </c>
      <c r="E54" s="289">
        <v>2814384</v>
      </c>
      <c r="F54" s="289">
        <v>2853375</v>
      </c>
      <c r="G54" s="289">
        <v>2897640</v>
      </c>
      <c r="H54" s="289">
        <v>2936879</v>
      </c>
      <c r="I54" s="289">
        <v>2981835</v>
      </c>
      <c r="J54" s="289">
        <v>3041868</v>
      </c>
      <c r="K54" s="289">
        <v>3101042</v>
      </c>
      <c r="L54" s="289">
        <v>3153550</v>
      </c>
      <c r="M54" s="289">
        <v>3205958</v>
      </c>
    </row>
    <row r="55" spans="1:13" x14ac:dyDescent="0.2">
      <c r="A55" s="292" t="s">
        <v>218</v>
      </c>
      <c r="B55" s="289">
        <v>625741</v>
      </c>
      <c r="C55" s="289">
        <v>625737</v>
      </c>
      <c r="D55" s="289">
        <v>625879</v>
      </c>
      <c r="E55" s="289">
        <v>627049</v>
      </c>
      <c r="F55" s="289">
        <v>626090</v>
      </c>
      <c r="G55" s="289">
        <v>626210</v>
      </c>
      <c r="H55" s="289">
        <v>625214</v>
      </c>
      <c r="I55" s="289">
        <v>625216</v>
      </c>
      <c r="J55" s="289">
        <v>623657</v>
      </c>
      <c r="K55" s="289">
        <v>624344</v>
      </c>
      <c r="L55" s="289">
        <v>624358</v>
      </c>
      <c r="M55" s="289">
        <v>623989</v>
      </c>
    </row>
    <row r="56" spans="1:13" x14ac:dyDescent="0.2">
      <c r="A56" s="292" t="s">
        <v>219</v>
      </c>
      <c r="B56" s="289">
        <v>8001024</v>
      </c>
      <c r="C56" s="289">
        <v>8001049</v>
      </c>
      <c r="D56" s="289">
        <v>8023699</v>
      </c>
      <c r="E56" s="289">
        <v>8101155</v>
      </c>
      <c r="F56" s="289">
        <v>8185080</v>
      </c>
      <c r="G56" s="289">
        <v>8252427</v>
      </c>
      <c r="H56" s="289">
        <v>8310993</v>
      </c>
      <c r="I56" s="289">
        <v>8361808</v>
      </c>
      <c r="J56" s="289">
        <v>8410106</v>
      </c>
      <c r="K56" s="289">
        <v>8463587</v>
      </c>
      <c r="L56" s="289">
        <v>8501286</v>
      </c>
      <c r="M56" s="289">
        <v>8535519</v>
      </c>
    </row>
    <row r="57" spans="1:13" x14ac:dyDescent="0.2">
      <c r="A57" s="292" t="s">
        <v>220</v>
      </c>
      <c r="B57" s="289">
        <v>6724540</v>
      </c>
      <c r="C57" s="289">
        <v>6724540</v>
      </c>
      <c r="D57" s="289">
        <v>6742830</v>
      </c>
      <c r="E57" s="289">
        <v>6826627</v>
      </c>
      <c r="F57" s="289">
        <v>6897058</v>
      </c>
      <c r="G57" s="289">
        <v>6963985</v>
      </c>
      <c r="H57" s="289">
        <v>7054655</v>
      </c>
      <c r="I57" s="289">
        <v>7163657</v>
      </c>
      <c r="J57" s="289">
        <v>7294771</v>
      </c>
      <c r="K57" s="289">
        <v>7423362</v>
      </c>
      <c r="L57" s="289">
        <v>7523869</v>
      </c>
      <c r="M57" s="289">
        <v>7614893</v>
      </c>
    </row>
    <row r="58" spans="1:13" x14ac:dyDescent="0.2">
      <c r="A58" s="292" t="s">
        <v>221</v>
      </c>
      <c r="B58" s="289">
        <v>1852994</v>
      </c>
      <c r="C58" s="289">
        <v>1853018</v>
      </c>
      <c r="D58" s="289">
        <v>1854239</v>
      </c>
      <c r="E58" s="289">
        <v>1856301</v>
      </c>
      <c r="F58" s="289">
        <v>1856872</v>
      </c>
      <c r="G58" s="289">
        <v>1853914</v>
      </c>
      <c r="H58" s="289">
        <v>1849489</v>
      </c>
      <c r="I58" s="289">
        <v>1842050</v>
      </c>
      <c r="J58" s="289">
        <v>1831023</v>
      </c>
      <c r="K58" s="289">
        <v>1817004</v>
      </c>
      <c r="L58" s="289">
        <v>1804291</v>
      </c>
      <c r="M58" s="289">
        <v>1792147</v>
      </c>
    </row>
    <row r="59" spans="1:13" x14ac:dyDescent="0.2">
      <c r="A59" s="292" t="s">
        <v>222</v>
      </c>
      <c r="B59" s="289">
        <v>5686986</v>
      </c>
      <c r="C59" s="289">
        <v>5687285</v>
      </c>
      <c r="D59" s="289">
        <v>5690475</v>
      </c>
      <c r="E59" s="289">
        <v>5705288</v>
      </c>
      <c r="F59" s="289">
        <v>5719960</v>
      </c>
      <c r="G59" s="289">
        <v>5736754</v>
      </c>
      <c r="H59" s="289">
        <v>5751525</v>
      </c>
      <c r="I59" s="289">
        <v>5760940</v>
      </c>
      <c r="J59" s="289">
        <v>5772628</v>
      </c>
      <c r="K59" s="289">
        <v>5790186</v>
      </c>
      <c r="L59" s="289">
        <v>5807406</v>
      </c>
      <c r="M59" s="289">
        <v>5822434</v>
      </c>
    </row>
    <row r="60" spans="1:13" x14ac:dyDescent="0.2">
      <c r="A60" s="292" t="s">
        <v>223</v>
      </c>
      <c r="B60" s="289">
        <v>563626</v>
      </c>
      <c r="C60" s="289">
        <v>563775</v>
      </c>
      <c r="D60" s="289">
        <v>564487</v>
      </c>
      <c r="E60" s="289">
        <v>567299</v>
      </c>
      <c r="F60" s="289">
        <v>576305</v>
      </c>
      <c r="G60" s="289">
        <v>582122</v>
      </c>
      <c r="H60" s="289">
        <v>582531</v>
      </c>
      <c r="I60" s="289">
        <v>585613</v>
      </c>
      <c r="J60" s="289">
        <v>584215</v>
      </c>
      <c r="K60" s="289">
        <v>578931</v>
      </c>
      <c r="L60" s="289">
        <v>577601</v>
      </c>
      <c r="M60" s="289">
        <v>578759</v>
      </c>
    </row>
    <row r="61" spans="1:13" x14ac:dyDescent="0.2">
      <c r="A61" s="294"/>
      <c r="B61" s="289"/>
      <c r="C61" s="289"/>
      <c r="D61" s="289"/>
      <c r="E61" s="289"/>
      <c r="F61" s="289"/>
      <c r="G61" s="289"/>
      <c r="H61" s="289"/>
      <c r="I61" s="289"/>
      <c r="J61" s="289"/>
      <c r="K61" s="289"/>
      <c r="L61" s="289"/>
      <c r="M61" s="289"/>
    </row>
    <row r="62" spans="1:13" x14ac:dyDescent="0.2">
      <c r="A62" s="295" t="s">
        <v>619</v>
      </c>
      <c r="B62" s="289">
        <v>3725789</v>
      </c>
      <c r="C62" s="289">
        <v>3726157</v>
      </c>
      <c r="D62" s="289">
        <v>3721525</v>
      </c>
      <c r="E62" s="289">
        <v>3678732</v>
      </c>
      <c r="F62" s="289">
        <v>3634488</v>
      </c>
      <c r="G62" s="289">
        <v>3593077</v>
      </c>
      <c r="H62" s="289">
        <v>3534874</v>
      </c>
      <c r="I62" s="289">
        <v>3473232</v>
      </c>
      <c r="J62" s="289">
        <v>3406672</v>
      </c>
      <c r="K62" s="289">
        <v>3325286</v>
      </c>
      <c r="L62" s="289">
        <v>3193354</v>
      </c>
      <c r="M62" s="289">
        <v>3193694</v>
      </c>
    </row>
    <row r="63" spans="1:13" x14ac:dyDescent="0.2">
      <c r="A63" s="388" t="s">
        <v>620</v>
      </c>
      <c r="B63" s="389"/>
      <c r="C63" s="389"/>
      <c r="D63" s="389"/>
      <c r="E63" s="389"/>
      <c r="F63" s="389"/>
      <c r="G63" s="389"/>
      <c r="H63" s="389"/>
      <c r="I63" s="389"/>
      <c r="J63" s="389"/>
      <c r="K63" s="389"/>
      <c r="L63" s="389"/>
      <c r="M63" s="390"/>
    </row>
    <row r="64" spans="1:13" x14ac:dyDescent="0.2">
      <c r="A64" s="372" t="s">
        <v>621</v>
      </c>
      <c r="B64" s="373"/>
      <c r="C64" s="373"/>
      <c r="D64" s="373"/>
      <c r="E64" s="373"/>
      <c r="F64" s="373"/>
      <c r="G64" s="373"/>
      <c r="H64" s="373"/>
      <c r="I64" s="373"/>
      <c r="J64" s="373"/>
      <c r="K64" s="373"/>
      <c r="L64" s="373"/>
      <c r="M64" s="374"/>
    </row>
    <row r="65" spans="1:13" x14ac:dyDescent="0.2">
      <c r="A65" s="375" t="s">
        <v>622</v>
      </c>
      <c r="B65" s="376"/>
      <c r="C65" s="376"/>
      <c r="D65" s="376"/>
      <c r="E65" s="376"/>
      <c r="F65" s="376"/>
      <c r="G65" s="376"/>
      <c r="H65" s="376"/>
      <c r="I65" s="376"/>
      <c r="J65" s="376"/>
      <c r="K65" s="376"/>
      <c r="L65" s="376"/>
      <c r="M65" s="377"/>
    </row>
    <row r="66" spans="1:13" x14ac:dyDescent="0.2">
      <c r="A66" s="375" t="s">
        <v>623</v>
      </c>
      <c r="B66" s="376"/>
      <c r="C66" s="376"/>
      <c r="D66" s="376"/>
      <c r="E66" s="376"/>
      <c r="F66" s="376"/>
      <c r="G66" s="376"/>
      <c r="H66" s="376"/>
      <c r="I66" s="376"/>
      <c r="J66" s="376"/>
      <c r="K66" s="376"/>
      <c r="L66" s="376"/>
      <c r="M66" s="377"/>
    </row>
    <row r="67" spans="1:13" x14ac:dyDescent="0.2">
      <c r="A67" s="378" t="s">
        <v>624</v>
      </c>
      <c r="B67" s="379"/>
      <c r="C67" s="379"/>
      <c r="D67" s="379"/>
      <c r="E67" s="379"/>
      <c r="F67" s="379"/>
      <c r="G67" s="379"/>
      <c r="H67" s="379"/>
      <c r="I67" s="379"/>
      <c r="J67" s="379"/>
      <c r="K67" s="379"/>
      <c r="L67" s="379"/>
      <c r="M67" s="380"/>
    </row>
  </sheetData>
  <mergeCells count="9">
    <mergeCell ref="A64:M64"/>
    <mergeCell ref="A65:M65"/>
    <mergeCell ref="A66:M66"/>
    <mergeCell ref="A67:M67"/>
    <mergeCell ref="A2:M2"/>
    <mergeCell ref="A3:A4"/>
    <mergeCell ref="D3:M3"/>
    <mergeCell ref="B3:C3"/>
    <mergeCell ref="A63:M63"/>
  </mergeCells>
  <pageMargins left="0.7" right="0.7" top="0.75" bottom="0.75" header="0.3" footer="0.3"/>
  <pageSetup scale="65" orientation="landscape"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ED42A-C925-4610-8B39-963F4B3C2017}">
  <sheetPr>
    <tabColor theme="5" tint="0.39997558519241921"/>
  </sheetPr>
  <dimension ref="A1:F470"/>
  <sheetViews>
    <sheetView view="pageBreakPreview" topLeftCell="B2" zoomScale="130" zoomScaleNormal="100" zoomScaleSheetLayoutView="130" workbookViewId="0">
      <selection activeCell="C29" sqref="C29"/>
    </sheetView>
  </sheetViews>
  <sheetFormatPr defaultColWidth="9.140625" defaultRowHeight="12" outlineLevelRow="1" outlineLevelCol="1" x14ac:dyDescent="0.2"/>
  <cols>
    <col min="1" max="1" width="9.28515625" style="134" hidden="1" customWidth="1" outlineLevel="1"/>
    <col min="2" max="2" width="18.7109375" style="134" bestFit="1" customWidth="1" collapsed="1"/>
    <col min="3" max="3" width="68" style="134" bestFit="1" customWidth="1"/>
    <col min="4" max="4" width="10.5703125" style="134" bestFit="1" customWidth="1"/>
    <col min="5" max="5" width="11.5703125" style="134" hidden="1" customWidth="1" outlineLevel="1"/>
    <col min="6" max="6" width="9.140625" style="134" collapsed="1"/>
    <col min="7" max="16384" width="9.140625" style="134"/>
  </cols>
  <sheetData>
    <row r="1" spans="1:5" hidden="1" outlineLevel="1" x14ac:dyDescent="0.2">
      <c r="A1" s="134">
        <v>1</v>
      </c>
      <c r="B1" s="134">
        <f>A1+1</f>
        <v>2</v>
      </c>
      <c r="C1" s="134">
        <f>B1+1</f>
        <v>3</v>
      </c>
      <c r="D1" s="134">
        <f>C1+1</f>
        <v>4</v>
      </c>
      <c r="E1" s="134">
        <f>D1+1</f>
        <v>5</v>
      </c>
    </row>
    <row r="2" spans="1:5" collapsed="1" x14ac:dyDescent="0.2">
      <c r="B2" s="133" t="s">
        <v>83</v>
      </c>
      <c r="C2" s="133" t="s">
        <v>625</v>
      </c>
      <c r="D2" s="133" t="s">
        <v>626</v>
      </c>
      <c r="E2" s="133" t="s">
        <v>627</v>
      </c>
    </row>
    <row r="3" spans="1:5" x14ac:dyDescent="0.2">
      <c r="A3" s="134" t="str">
        <f>_xlfn.CONCAT(B3," - ",C3)</f>
        <v>United States - Total Local Government Units</v>
      </c>
      <c r="B3" s="134" t="s">
        <v>607</v>
      </c>
      <c r="C3" s="134" t="s">
        <v>628</v>
      </c>
      <c r="D3" s="136">
        <v>90075</v>
      </c>
      <c r="E3" s="134" t="s">
        <v>609</v>
      </c>
    </row>
    <row r="4" spans="1:5" x14ac:dyDescent="0.2">
      <c r="A4" s="134" t="str">
        <f t="shared" ref="A4:A67" si="0">_xlfn.CONCAT(B4," - ",C4)</f>
        <v>United States - Special Purpose Governments</v>
      </c>
      <c r="B4" s="134" t="s">
        <v>607</v>
      </c>
      <c r="C4" s="134" t="s">
        <v>629</v>
      </c>
      <c r="D4" s="136">
        <v>51296</v>
      </c>
      <c r="E4" s="134" t="s">
        <v>609</v>
      </c>
    </row>
    <row r="5" spans="1:5" x14ac:dyDescent="0.2">
      <c r="A5" s="134" t="str">
        <f t="shared" si="0"/>
        <v>United States - General Purpose Governments</v>
      </c>
      <c r="B5" s="134" t="s">
        <v>607</v>
      </c>
      <c r="C5" s="134" t="s">
        <v>630</v>
      </c>
      <c r="D5" s="136">
        <v>38779</v>
      </c>
      <c r="E5" s="134" t="s">
        <v>609</v>
      </c>
    </row>
    <row r="6" spans="1:5" x14ac:dyDescent="0.2">
      <c r="A6" s="134" t="str">
        <f t="shared" si="0"/>
        <v>United States - County Governments</v>
      </c>
      <c r="B6" s="134" t="s">
        <v>607</v>
      </c>
      <c r="C6" s="134" t="s">
        <v>165</v>
      </c>
      <c r="D6" s="136">
        <v>3031</v>
      </c>
      <c r="E6" s="134" t="s">
        <v>609</v>
      </c>
    </row>
    <row r="7" spans="1:5" x14ac:dyDescent="0.2">
      <c r="A7" s="134" t="str">
        <f t="shared" si="0"/>
        <v>United States - Subcounty Governments</v>
      </c>
      <c r="B7" s="134" t="s">
        <v>607</v>
      </c>
      <c r="C7" s="134" t="s">
        <v>631</v>
      </c>
      <c r="D7" s="136">
        <v>35748</v>
      </c>
      <c r="E7" s="134" t="s">
        <v>609</v>
      </c>
    </row>
    <row r="8" spans="1:5" x14ac:dyDescent="0.2">
      <c r="A8" s="134" t="str">
        <f t="shared" si="0"/>
        <v>United States - Subcounty Governments - Municipal Governments</v>
      </c>
      <c r="B8" s="134" t="s">
        <v>607</v>
      </c>
      <c r="C8" s="134" t="s">
        <v>632</v>
      </c>
      <c r="D8" s="136">
        <v>19495</v>
      </c>
      <c r="E8" s="134" t="s">
        <v>609</v>
      </c>
    </row>
    <row r="9" spans="1:5" x14ac:dyDescent="0.2">
      <c r="A9" s="134" t="str">
        <f t="shared" si="0"/>
        <v>United States - Subcounty Governments - Township Governments</v>
      </c>
      <c r="B9" s="134" t="s">
        <v>607</v>
      </c>
      <c r="C9" s="134" t="s">
        <v>633</v>
      </c>
      <c r="D9" s="136">
        <v>16253</v>
      </c>
      <c r="E9" s="134" t="s">
        <v>609</v>
      </c>
    </row>
    <row r="10" spans="1:5" x14ac:dyDescent="0.2">
      <c r="A10" s="134" t="str">
        <f t="shared" si="0"/>
        <v>United States - Special Purpose Governments - Special District Governments</v>
      </c>
      <c r="B10" s="134" t="s">
        <v>607</v>
      </c>
      <c r="C10" s="134" t="s">
        <v>634</v>
      </c>
      <c r="D10" s="136">
        <v>38542</v>
      </c>
      <c r="E10" s="134" t="s">
        <v>609</v>
      </c>
    </row>
    <row r="11" spans="1:5" x14ac:dyDescent="0.2">
      <c r="A11" s="134" t="str">
        <f t="shared" si="0"/>
        <v>United States - Special Purpose Governments - Independent School District Governments</v>
      </c>
      <c r="B11" s="134" t="s">
        <v>607</v>
      </c>
      <c r="C11" s="134" t="s">
        <v>635</v>
      </c>
      <c r="D11" s="136">
        <v>12754</v>
      </c>
      <c r="E11" s="134" t="s">
        <v>609</v>
      </c>
    </row>
    <row r="12" spans="1:5" x14ac:dyDescent="0.2">
      <c r="A12" s="134" t="str">
        <f t="shared" si="0"/>
        <v>Alabama - Total Local Government Units</v>
      </c>
      <c r="B12" s="134" t="s">
        <v>173</v>
      </c>
      <c r="C12" s="134" t="s">
        <v>628</v>
      </c>
      <c r="D12" s="136">
        <v>1195</v>
      </c>
      <c r="E12" s="134" t="s">
        <v>609</v>
      </c>
    </row>
    <row r="13" spans="1:5" x14ac:dyDescent="0.2">
      <c r="A13" s="134" t="str">
        <f t="shared" si="0"/>
        <v>Alabama - Special Purpose Governments</v>
      </c>
      <c r="B13" s="134" t="s">
        <v>173</v>
      </c>
      <c r="C13" s="134" t="s">
        <v>629</v>
      </c>
      <c r="D13" s="136">
        <v>667</v>
      </c>
      <c r="E13" s="134" t="s">
        <v>609</v>
      </c>
    </row>
    <row r="14" spans="1:5" x14ac:dyDescent="0.2">
      <c r="A14" s="134" t="str">
        <f t="shared" si="0"/>
        <v>Alabama - General Purpose Governments</v>
      </c>
      <c r="B14" s="134" t="s">
        <v>173</v>
      </c>
      <c r="C14" s="134" t="s">
        <v>630</v>
      </c>
      <c r="D14" s="136">
        <v>528</v>
      </c>
      <c r="E14" s="134" t="s">
        <v>609</v>
      </c>
    </row>
    <row r="15" spans="1:5" x14ac:dyDescent="0.2">
      <c r="A15" s="134" t="str">
        <f t="shared" si="0"/>
        <v>Alabama - County Governments</v>
      </c>
      <c r="B15" s="134" t="s">
        <v>173</v>
      </c>
      <c r="C15" s="134" t="s">
        <v>165</v>
      </c>
      <c r="D15" s="136">
        <v>67</v>
      </c>
      <c r="E15" s="134" t="s">
        <v>609</v>
      </c>
    </row>
    <row r="16" spans="1:5" x14ac:dyDescent="0.2">
      <c r="A16" s="134" t="str">
        <f t="shared" si="0"/>
        <v>Alabama - Subcounty Governments</v>
      </c>
      <c r="B16" s="134" t="s">
        <v>173</v>
      </c>
      <c r="C16" s="134" t="s">
        <v>631</v>
      </c>
      <c r="D16" s="136">
        <v>461</v>
      </c>
      <c r="E16" s="134" t="s">
        <v>609</v>
      </c>
    </row>
    <row r="17" spans="1:5" x14ac:dyDescent="0.2">
      <c r="A17" s="134" t="str">
        <f t="shared" si="0"/>
        <v>Alabama - Subcounty Governments - Municipal Governments</v>
      </c>
      <c r="B17" s="134" t="s">
        <v>173</v>
      </c>
      <c r="C17" s="134" t="s">
        <v>632</v>
      </c>
      <c r="D17" s="136">
        <v>461</v>
      </c>
      <c r="E17" s="134" t="s">
        <v>609</v>
      </c>
    </row>
    <row r="18" spans="1:5" x14ac:dyDescent="0.2">
      <c r="A18" s="134" t="str">
        <f t="shared" si="0"/>
        <v>Alabama - Subcounty Governments - Township Governments</v>
      </c>
      <c r="B18" s="134" t="s">
        <v>173</v>
      </c>
      <c r="C18" s="134" t="s">
        <v>633</v>
      </c>
      <c r="D18" s="136">
        <v>0</v>
      </c>
      <c r="E18" s="134" t="s">
        <v>609</v>
      </c>
    </row>
    <row r="19" spans="1:5" x14ac:dyDescent="0.2">
      <c r="A19" s="134" t="str">
        <f t="shared" si="0"/>
        <v>Alabama - Special Purpose Governments - Special District Governments</v>
      </c>
      <c r="B19" s="134" t="s">
        <v>173</v>
      </c>
      <c r="C19" s="134" t="s">
        <v>634</v>
      </c>
      <c r="D19" s="136">
        <v>530</v>
      </c>
      <c r="E19" s="134" t="s">
        <v>609</v>
      </c>
    </row>
    <row r="20" spans="1:5" x14ac:dyDescent="0.2">
      <c r="A20" s="134" t="str">
        <f t="shared" si="0"/>
        <v>Alabama - Special Purpose Governments - Independent School District Governments</v>
      </c>
      <c r="B20" s="134" t="s">
        <v>173</v>
      </c>
      <c r="C20" s="134" t="s">
        <v>635</v>
      </c>
      <c r="D20" s="136">
        <v>137</v>
      </c>
      <c r="E20" s="134" t="s">
        <v>609</v>
      </c>
    </row>
    <row r="21" spans="1:5" x14ac:dyDescent="0.2">
      <c r="A21" s="134" t="str">
        <f t="shared" si="0"/>
        <v>Alaska - Total Local Government Units</v>
      </c>
      <c r="B21" s="134" t="s">
        <v>174</v>
      </c>
      <c r="C21" s="134" t="s">
        <v>628</v>
      </c>
      <c r="D21" s="136">
        <v>179</v>
      </c>
      <c r="E21" s="134" t="s">
        <v>609</v>
      </c>
    </row>
    <row r="22" spans="1:5" x14ac:dyDescent="0.2">
      <c r="A22" s="134" t="str">
        <f t="shared" si="0"/>
        <v>Alaska - Special Purpose Governments</v>
      </c>
      <c r="B22" s="134" t="s">
        <v>174</v>
      </c>
      <c r="C22" s="134" t="s">
        <v>629</v>
      </c>
      <c r="D22" s="136">
        <v>15</v>
      </c>
      <c r="E22" s="134" t="s">
        <v>609</v>
      </c>
    </row>
    <row r="23" spans="1:5" x14ac:dyDescent="0.2">
      <c r="A23" s="134" t="str">
        <f t="shared" si="0"/>
        <v>Alaska - General Purpose Governments</v>
      </c>
      <c r="B23" s="134" t="s">
        <v>174</v>
      </c>
      <c r="C23" s="134" t="s">
        <v>630</v>
      </c>
      <c r="D23" s="136">
        <v>164</v>
      </c>
      <c r="E23" s="134" t="s">
        <v>609</v>
      </c>
    </row>
    <row r="24" spans="1:5" x14ac:dyDescent="0.2">
      <c r="A24" s="134" t="str">
        <f t="shared" si="0"/>
        <v>Alaska - County Governments</v>
      </c>
      <c r="B24" s="134" t="s">
        <v>174</v>
      </c>
      <c r="C24" s="134" t="s">
        <v>165</v>
      </c>
      <c r="D24" s="136">
        <v>15</v>
      </c>
      <c r="E24" s="134" t="s">
        <v>609</v>
      </c>
    </row>
    <row r="25" spans="1:5" x14ac:dyDescent="0.2">
      <c r="A25" s="134" t="str">
        <f t="shared" si="0"/>
        <v>Alaska - Subcounty Governments</v>
      </c>
      <c r="B25" s="134" t="s">
        <v>174</v>
      </c>
      <c r="C25" s="134" t="s">
        <v>631</v>
      </c>
      <c r="D25" s="136">
        <v>149</v>
      </c>
      <c r="E25" s="134" t="s">
        <v>609</v>
      </c>
    </row>
    <row r="26" spans="1:5" x14ac:dyDescent="0.2">
      <c r="A26" s="134" t="str">
        <f t="shared" si="0"/>
        <v>Alaska - Subcounty Governments - Municipal Governments</v>
      </c>
      <c r="B26" s="134" t="s">
        <v>174</v>
      </c>
      <c r="C26" s="134" t="s">
        <v>632</v>
      </c>
      <c r="D26" s="136">
        <v>149</v>
      </c>
      <c r="E26" s="134" t="s">
        <v>609</v>
      </c>
    </row>
    <row r="27" spans="1:5" x14ac:dyDescent="0.2">
      <c r="A27" s="134" t="str">
        <f t="shared" si="0"/>
        <v>Alaska - Subcounty Governments - Township Governments</v>
      </c>
      <c r="B27" s="134" t="s">
        <v>174</v>
      </c>
      <c r="C27" s="134" t="s">
        <v>633</v>
      </c>
      <c r="D27" s="136">
        <v>0</v>
      </c>
      <c r="E27" s="134" t="s">
        <v>609</v>
      </c>
    </row>
    <row r="28" spans="1:5" x14ac:dyDescent="0.2">
      <c r="A28" s="134" t="str">
        <f t="shared" si="0"/>
        <v>Alaska - Special Purpose Governments - Special District Governments</v>
      </c>
      <c r="B28" s="134" t="s">
        <v>174</v>
      </c>
      <c r="C28" s="134" t="s">
        <v>634</v>
      </c>
      <c r="D28" s="136">
        <v>15</v>
      </c>
      <c r="E28" s="134" t="s">
        <v>609</v>
      </c>
    </row>
    <row r="29" spans="1:5" x14ac:dyDescent="0.2">
      <c r="A29" s="134" t="str">
        <f t="shared" si="0"/>
        <v>Alaska - Special Purpose Governments - Independent School District Governments</v>
      </c>
      <c r="B29" s="134" t="s">
        <v>174</v>
      </c>
      <c r="C29" s="134" t="s">
        <v>635</v>
      </c>
      <c r="D29" s="136">
        <v>0</v>
      </c>
      <c r="E29" s="134" t="s">
        <v>609</v>
      </c>
    </row>
    <row r="30" spans="1:5" x14ac:dyDescent="0.2">
      <c r="A30" s="134" t="str">
        <f t="shared" si="0"/>
        <v>Arizona - Total Local Government Units</v>
      </c>
      <c r="B30" s="134" t="s">
        <v>175</v>
      </c>
      <c r="C30" s="134" t="s">
        <v>628</v>
      </c>
      <c r="D30" s="136">
        <v>658</v>
      </c>
      <c r="E30" s="134" t="s">
        <v>609</v>
      </c>
    </row>
    <row r="31" spans="1:5" x14ac:dyDescent="0.2">
      <c r="A31" s="134" t="str">
        <f t="shared" si="0"/>
        <v>Arizona - Special Purpose Governments</v>
      </c>
      <c r="B31" s="134" t="s">
        <v>175</v>
      </c>
      <c r="C31" s="134" t="s">
        <v>629</v>
      </c>
      <c r="D31" s="136">
        <v>552</v>
      </c>
      <c r="E31" s="134" t="s">
        <v>609</v>
      </c>
    </row>
    <row r="32" spans="1:5" x14ac:dyDescent="0.2">
      <c r="A32" s="134" t="str">
        <f t="shared" si="0"/>
        <v>Arizona - General Purpose Governments</v>
      </c>
      <c r="B32" s="134" t="s">
        <v>175</v>
      </c>
      <c r="C32" s="134" t="s">
        <v>630</v>
      </c>
      <c r="D32" s="136">
        <v>106</v>
      </c>
      <c r="E32" s="134" t="s">
        <v>609</v>
      </c>
    </row>
    <row r="33" spans="1:5" x14ac:dyDescent="0.2">
      <c r="A33" s="134" t="str">
        <f t="shared" si="0"/>
        <v>Arizona - County Governments</v>
      </c>
      <c r="B33" s="134" t="s">
        <v>175</v>
      </c>
      <c r="C33" s="134" t="s">
        <v>165</v>
      </c>
      <c r="D33" s="136">
        <v>15</v>
      </c>
      <c r="E33" s="134" t="s">
        <v>609</v>
      </c>
    </row>
    <row r="34" spans="1:5" x14ac:dyDescent="0.2">
      <c r="A34" s="134" t="str">
        <f t="shared" si="0"/>
        <v>Arizona - Subcounty Governments</v>
      </c>
      <c r="B34" s="134" t="s">
        <v>175</v>
      </c>
      <c r="C34" s="134" t="s">
        <v>631</v>
      </c>
      <c r="D34" s="136">
        <v>91</v>
      </c>
      <c r="E34" s="134" t="s">
        <v>609</v>
      </c>
    </row>
    <row r="35" spans="1:5" x14ac:dyDescent="0.2">
      <c r="A35" s="134" t="str">
        <f t="shared" si="0"/>
        <v>Arizona - Subcounty Governments - Municipal Governments</v>
      </c>
      <c r="B35" s="134" t="s">
        <v>175</v>
      </c>
      <c r="C35" s="134" t="s">
        <v>632</v>
      </c>
      <c r="D35" s="136">
        <v>91</v>
      </c>
      <c r="E35" s="134" t="s">
        <v>609</v>
      </c>
    </row>
    <row r="36" spans="1:5" x14ac:dyDescent="0.2">
      <c r="A36" s="134" t="str">
        <f t="shared" si="0"/>
        <v>Arizona - Subcounty Governments - Township Governments</v>
      </c>
      <c r="B36" s="134" t="s">
        <v>175</v>
      </c>
      <c r="C36" s="134" t="s">
        <v>633</v>
      </c>
      <c r="D36" s="136">
        <v>0</v>
      </c>
      <c r="E36" s="134" t="s">
        <v>609</v>
      </c>
    </row>
    <row r="37" spans="1:5" x14ac:dyDescent="0.2">
      <c r="A37" s="134" t="str">
        <f t="shared" si="0"/>
        <v>Arizona - Special Purpose Governments - Special District Governments</v>
      </c>
      <c r="B37" s="134" t="s">
        <v>175</v>
      </c>
      <c r="C37" s="134" t="s">
        <v>634</v>
      </c>
      <c r="D37" s="136">
        <v>310</v>
      </c>
      <c r="E37" s="134" t="s">
        <v>609</v>
      </c>
    </row>
    <row r="38" spans="1:5" x14ac:dyDescent="0.2">
      <c r="A38" s="134" t="str">
        <f t="shared" si="0"/>
        <v>Arizona - Special Purpose Governments - Independent School District Governments</v>
      </c>
      <c r="B38" s="134" t="s">
        <v>175</v>
      </c>
      <c r="C38" s="134" t="s">
        <v>635</v>
      </c>
      <c r="D38" s="136">
        <v>242</v>
      </c>
      <c r="E38" s="134" t="s">
        <v>609</v>
      </c>
    </row>
    <row r="39" spans="1:5" x14ac:dyDescent="0.2">
      <c r="A39" s="134" t="str">
        <f t="shared" si="0"/>
        <v>Arkansas - Total Local Government Units</v>
      </c>
      <c r="B39" s="134" t="s">
        <v>176</v>
      </c>
      <c r="C39" s="134" t="s">
        <v>628</v>
      </c>
      <c r="D39" s="136">
        <v>1541</v>
      </c>
      <c r="E39" s="134" t="s">
        <v>609</v>
      </c>
    </row>
    <row r="40" spans="1:5" x14ac:dyDescent="0.2">
      <c r="A40" s="134" t="str">
        <f t="shared" si="0"/>
        <v>Arkansas - Special Purpose Governments</v>
      </c>
      <c r="B40" s="134" t="s">
        <v>176</v>
      </c>
      <c r="C40" s="134" t="s">
        <v>629</v>
      </c>
      <c r="D40" s="136">
        <v>965</v>
      </c>
      <c r="E40" s="134" t="s">
        <v>609</v>
      </c>
    </row>
    <row r="41" spans="1:5" x14ac:dyDescent="0.2">
      <c r="A41" s="134" t="str">
        <f t="shared" si="0"/>
        <v>Arkansas - General Purpose Governments</v>
      </c>
      <c r="B41" s="134" t="s">
        <v>176</v>
      </c>
      <c r="C41" s="134" t="s">
        <v>630</v>
      </c>
      <c r="D41" s="136">
        <v>576</v>
      </c>
      <c r="E41" s="134" t="s">
        <v>609</v>
      </c>
    </row>
    <row r="42" spans="1:5" x14ac:dyDescent="0.2">
      <c r="A42" s="134" t="str">
        <f t="shared" si="0"/>
        <v>Arkansas - County Governments</v>
      </c>
      <c r="B42" s="134" t="s">
        <v>176</v>
      </c>
      <c r="C42" s="134" t="s">
        <v>165</v>
      </c>
      <c r="D42" s="136">
        <v>75</v>
      </c>
      <c r="E42" s="134" t="s">
        <v>609</v>
      </c>
    </row>
    <row r="43" spans="1:5" x14ac:dyDescent="0.2">
      <c r="A43" s="134" t="str">
        <f t="shared" si="0"/>
        <v>Arkansas - Subcounty Governments</v>
      </c>
      <c r="B43" s="134" t="s">
        <v>176</v>
      </c>
      <c r="C43" s="134" t="s">
        <v>631</v>
      </c>
      <c r="D43" s="136">
        <v>501</v>
      </c>
      <c r="E43" s="134" t="s">
        <v>609</v>
      </c>
    </row>
    <row r="44" spans="1:5" x14ac:dyDescent="0.2">
      <c r="A44" s="134" t="str">
        <f t="shared" si="0"/>
        <v>Arkansas - Subcounty Governments - Municipal Governments</v>
      </c>
      <c r="B44" s="134" t="s">
        <v>176</v>
      </c>
      <c r="C44" s="134" t="s">
        <v>632</v>
      </c>
      <c r="D44" s="136">
        <v>501</v>
      </c>
      <c r="E44" s="134" t="s">
        <v>609</v>
      </c>
    </row>
    <row r="45" spans="1:5" x14ac:dyDescent="0.2">
      <c r="A45" s="134" t="str">
        <f t="shared" si="0"/>
        <v>Arkansas - Subcounty Governments - Township Governments</v>
      </c>
      <c r="B45" s="134" t="s">
        <v>176</v>
      </c>
      <c r="C45" s="134" t="s">
        <v>633</v>
      </c>
      <c r="D45" s="136">
        <v>0</v>
      </c>
      <c r="E45" s="134" t="s">
        <v>609</v>
      </c>
    </row>
    <row r="46" spans="1:5" x14ac:dyDescent="0.2">
      <c r="A46" s="134" t="str">
        <f t="shared" si="0"/>
        <v>Arkansas - Special Purpose Governments - Special District Governments</v>
      </c>
      <c r="B46" s="134" t="s">
        <v>176</v>
      </c>
      <c r="C46" s="134" t="s">
        <v>634</v>
      </c>
      <c r="D46" s="136">
        <v>730</v>
      </c>
      <c r="E46" s="134" t="s">
        <v>609</v>
      </c>
    </row>
    <row r="47" spans="1:5" x14ac:dyDescent="0.2">
      <c r="A47" s="134" t="str">
        <f t="shared" si="0"/>
        <v>Arkansas - Special Purpose Governments - Independent School District Governments</v>
      </c>
      <c r="B47" s="134" t="s">
        <v>176</v>
      </c>
      <c r="C47" s="134" t="s">
        <v>635</v>
      </c>
      <c r="D47" s="136">
        <v>235</v>
      </c>
      <c r="E47" s="134" t="s">
        <v>609</v>
      </c>
    </row>
    <row r="48" spans="1:5" x14ac:dyDescent="0.2">
      <c r="A48" s="134" t="str">
        <f t="shared" si="0"/>
        <v>California - Total Local Government Units</v>
      </c>
      <c r="B48" s="134" t="s">
        <v>177</v>
      </c>
      <c r="C48" s="134" t="s">
        <v>628</v>
      </c>
      <c r="D48" s="136">
        <v>4444</v>
      </c>
      <c r="E48" s="134" t="s">
        <v>609</v>
      </c>
    </row>
    <row r="49" spans="1:5" x14ac:dyDescent="0.2">
      <c r="A49" s="134" t="str">
        <f t="shared" si="0"/>
        <v>California - Special Purpose Governments</v>
      </c>
      <c r="B49" s="134" t="s">
        <v>177</v>
      </c>
      <c r="C49" s="134" t="s">
        <v>629</v>
      </c>
      <c r="D49" s="136">
        <v>3905</v>
      </c>
      <c r="E49" s="134" t="s">
        <v>609</v>
      </c>
    </row>
    <row r="50" spans="1:5" x14ac:dyDescent="0.2">
      <c r="A50" s="134" t="str">
        <f t="shared" si="0"/>
        <v>California - General Purpose Governments</v>
      </c>
      <c r="B50" s="134" t="s">
        <v>177</v>
      </c>
      <c r="C50" s="134" t="s">
        <v>630</v>
      </c>
      <c r="D50" s="136">
        <v>539</v>
      </c>
      <c r="E50" s="134" t="s">
        <v>609</v>
      </c>
    </row>
    <row r="51" spans="1:5" x14ac:dyDescent="0.2">
      <c r="A51" s="134" t="str">
        <f t="shared" si="0"/>
        <v>California - County Governments</v>
      </c>
      <c r="B51" s="134" t="s">
        <v>177</v>
      </c>
      <c r="C51" s="134" t="s">
        <v>165</v>
      </c>
      <c r="D51" s="136">
        <v>57</v>
      </c>
      <c r="E51" s="134" t="s">
        <v>609</v>
      </c>
    </row>
    <row r="52" spans="1:5" x14ac:dyDescent="0.2">
      <c r="A52" s="134" t="str">
        <f t="shared" si="0"/>
        <v>California - Subcounty Governments</v>
      </c>
      <c r="B52" s="134" t="s">
        <v>177</v>
      </c>
      <c r="C52" s="134" t="s">
        <v>631</v>
      </c>
      <c r="D52" s="136">
        <v>482</v>
      </c>
      <c r="E52" s="134" t="s">
        <v>609</v>
      </c>
    </row>
    <row r="53" spans="1:5" x14ac:dyDescent="0.2">
      <c r="A53" s="134" t="str">
        <f t="shared" si="0"/>
        <v>California - Subcounty Governments - Municipal Governments</v>
      </c>
      <c r="B53" s="134" t="s">
        <v>177</v>
      </c>
      <c r="C53" s="134" t="s">
        <v>632</v>
      </c>
      <c r="D53" s="136">
        <v>482</v>
      </c>
      <c r="E53" s="134" t="s">
        <v>609</v>
      </c>
    </row>
    <row r="54" spans="1:5" x14ac:dyDescent="0.2">
      <c r="A54" s="134" t="str">
        <f t="shared" si="0"/>
        <v>California - Subcounty Governments - Township Governments</v>
      </c>
      <c r="B54" s="134" t="s">
        <v>177</v>
      </c>
      <c r="C54" s="134" t="s">
        <v>633</v>
      </c>
      <c r="D54" s="136">
        <v>0</v>
      </c>
      <c r="E54" s="134" t="s">
        <v>609</v>
      </c>
    </row>
    <row r="55" spans="1:5" x14ac:dyDescent="0.2">
      <c r="A55" s="134" t="str">
        <f t="shared" si="0"/>
        <v>California - Special Purpose Governments - Special District Governments</v>
      </c>
      <c r="B55" s="134" t="s">
        <v>177</v>
      </c>
      <c r="C55" s="134" t="s">
        <v>634</v>
      </c>
      <c r="D55" s="136">
        <v>2894</v>
      </c>
      <c r="E55" s="134" t="s">
        <v>609</v>
      </c>
    </row>
    <row r="56" spans="1:5" x14ac:dyDescent="0.2">
      <c r="A56" s="134" t="str">
        <f t="shared" si="0"/>
        <v>California - Special Purpose Governments - Independent School District Governments</v>
      </c>
      <c r="B56" s="134" t="s">
        <v>177</v>
      </c>
      <c r="C56" s="134" t="s">
        <v>635</v>
      </c>
      <c r="D56" s="136">
        <v>1011</v>
      </c>
      <c r="E56" s="134" t="s">
        <v>609</v>
      </c>
    </row>
    <row r="57" spans="1:5" x14ac:dyDescent="0.2">
      <c r="A57" s="134" t="str">
        <f t="shared" si="0"/>
        <v>Colorado - Total Local Government Units</v>
      </c>
      <c r="B57" s="134" t="s">
        <v>178</v>
      </c>
      <c r="C57" s="134" t="s">
        <v>628</v>
      </c>
      <c r="D57" s="136">
        <v>3141</v>
      </c>
      <c r="E57" s="134" t="s">
        <v>609</v>
      </c>
    </row>
    <row r="58" spans="1:5" x14ac:dyDescent="0.2">
      <c r="A58" s="134" t="str">
        <f t="shared" si="0"/>
        <v>Colorado - Special Purpose Governments</v>
      </c>
      <c r="B58" s="134" t="s">
        <v>178</v>
      </c>
      <c r="C58" s="134" t="s">
        <v>629</v>
      </c>
      <c r="D58" s="136">
        <v>2808</v>
      </c>
      <c r="E58" s="134" t="s">
        <v>609</v>
      </c>
    </row>
    <row r="59" spans="1:5" x14ac:dyDescent="0.2">
      <c r="A59" s="134" t="str">
        <f t="shared" si="0"/>
        <v>Colorado - General Purpose Governments</v>
      </c>
      <c r="B59" s="134" t="s">
        <v>178</v>
      </c>
      <c r="C59" s="134" t="s">
        <v>630</v>
      </c>
      <c r="D59" s="136">
        <v>333</v>
      </c>
      <c r="E59" s="134" t="s">
        <v>609</v>
      </c>
    </row>
    <row r="60" spans="1:5" x14ac:dyDescent="0.2">
      <c r="A60" s="134" t="str">
        <f t="shared" si="0"/>
        <v>Colorado - County Governments</v>
      </c>
      <c r="B60" s="134" t="s">
        <v>178</v>
      </c>
      <c r="C60" s="134" t="s">
        <v>165</v>
      </c>
      <c r="D60" s="136">
        <v>62</v>
      </c>
      <c r="E60" s="134" t="s">
        <v>609</v>
      </c>
    </row>
    <row r="61" spans="1:5" x14ac:dyDescent="0.2">
      <c r="A61" s="134" t="str">
        <f t="shared" si="0"/>
        <v>Colorado - Subcounty Governments</v>
      </c>
      <c r="B61" s="134" t="s">
        <v>178</v>
      </c>
      <c r="C61" s="134" t="s">
        <v>631</v>
      </c>
      <c r="D61" s="136">
        <v>271</v>
      </c>
      <c r="E61" s="134" t="s">
        <v>609</v>
      </c>
    </row>
    <row r="62" spans="1:5" x14ac:dyDescent="0.2">
      <c r="A62" s="134" t="str">
        <f t="shared" si="0"/>
        <v>Colorado - Subcounty Governments - Municipal Governments</v>
      </c>
      <c r="B62" s="134" t="s">
        <v>178</v>
      </c>
      <c r="C62" s="134" t="s">
        <v>632</v>
      </c>
      <c r="D62" s="136">
        <v>271</v>
      </c>
      <c r="E62" s="134" t="s">
        <v>609</v>
      </c>
    </row>
    <row r="63" spans="1:5" x14ac:dyDescent="0.2">
      <c r="A63" s="134" t="str">
        <f t="shared" si="0"/>
        <v>Colorado - Subcounty Governments - Township Governments</v>
      </c>
      <c r="B63" s="134" t="s">
        <v>178</v>
      </c>
      <c r="C63" s="134" t="s">
        <v>633</v>
      </c>
      <c r="D63" s="136">
        <v>0</v>
      </c>
      <c r="E63" s="134" t="s">
        <v>609</v>
      </c>
    </row>
    <row r="64" spans="1:5" x14ac:dyDescent="0.2">
      <c r="A64" s="134" t="str">
        <f t="shared" si="0"/>
        <v>Colorado - Special Purpose Governments - Special District Governments</v>
      </c>
      <c r="B64" s="134" t="s">
        <v>178</v>
      </c>
      <c r="C64" s="134" t="s">
        <v>634</v>
      </c>
      <c r="D64" s="136">
        <v>2628</v>
      </c>
      <c r="E64" s="134" t="s">
        <v>609</v>
      </c>
    </row>
    <row r="65" spans="1:5" x14ac:dyDescent="0.2">
      <c r="A65" s="134" t="str">
        <f t="shared" si="0"/>
        <v>Colorado - Special Purpose Governments - Independent School District Governments</v>
      </c>
      <c r="B65" s="134" t="s">
        <v>178</v>
      </c>
      <c r="C65" s="134" t="s">
        <v>635</v>
      </c>
      <c r="D65" s="136">
        <v>180</v>
      </c>
      <c r="E65" s="134" t="s">
        <v>609</v>
      </c>
    </row>
    <row r="66" spans="1:5" x14ac:dyDescent="0.2">
      <c r="A66" s="134" t="str">
        <f t="shared" si="0"/>
        <v>Connecticut - Total Local Government Units</v>
      </c>
      <c r="B66" s="134" t="s">
        <v>179</v>
      </c>
      <c r="C66" s="134" t="s">
        <v>628</v>
      </c>
      <c r="D66" s="136">
        <v>625</v>
      </c>
      <c r="E66" s="134" t="s">
        <v>609</v>
      </c>
    </row>
    <row r="67" spans="1:5" x14ac:dyDescent="0.2">
      <c r="A67" s="134" t="str">
        <f t="shared" si="0"/>
        <v>Connecticut - Special Purpose Governments</v>
      </c>
      <c r="B67" s="134" t="s">
        <v>179</v>
      </c>
      <c r="C67" s="134" t="s">
        <v>629</v>
      </c>
      <c r="D67" s="136">
        <v>446</v>
      </c>
      <c r="E67" s="134" t="s">
        <v>609</v>
      </c>
    </row>
    <row r="68" spans="1:5" x14ac:dyDescent="0.2">
      <c r="A68" s="134" t="str">
        <f t="shared" ref="A68:A131" si="1">_xlfn.CONCAT(B68," - ",C68)</f>
        <v>Connecticut - General Purpose Governments</v>
      </c>
      <c r="B68" s="134" t="s">
        <v>179</v>
      </c>
      <c r="C68" s="134" t="s">
        <v>630</v>
      </c>
      <c r="D68" s="136">
        <v>179</v>
      </c>
      <c r="E68" s="134" t="s">
        <v>609</v>
      </c>
    </row>
    <row r="69" spans="1:5" x14ac:dyDescent="0.2">
      <c r="A69" s="134" t="str">
        <f t="shared" si="1"/>
        <v>Connecticut - County Governments</v>
      </c>
      <c r="B69" s="134" t="s">
        <v>179</v>
      </c>
      <c r="C69" s="134" t="s">
        <v>165</v>
      </c>
      <c r="D69" s="136">
        <v>0</v>
      </c>
      <c r="E69" s="134" t="s">
        <v>609</v>
      </c>
    </row>
    <row r="70" spans="1:5" x14ac:dyDescent="0.2">
      <c r="A70" s="134" t="str">
        <f t="shared" si="1"/>
        <v>Connecticut - Subcounty Governments</v>
      </c>
      <c r="B70" s="134" t="s">
        <v>179</v>
      </c>
      <c r="C70" s="134" t="s">
        <v>631</v>
      </c>
      <c r="D70" s="136">
        <v>179</v>
      </c>
      <c r="E70" s="134" t="s">
        <v>609</v>
      </c>
    </row>
    <row r="71" spans="1:5" x14ac:dyDescent="0.2">
      <c r="A71" s="134" t="str">
        <f t="shared" si="1"/>
        <v>Connecticut - Subcounty Governments - Municipal Governments</v>
      </c>
      <c r="B71" s="134" t="s">
        <v>179</v>
      </c>
      <c r="C71" s="134" t="s">
        <v>632</v>
      </c>
      <c r="D71" s="136">
        <v>30</v>
      </c>
      <c r="E71" s="134" t="s">
        <v>609</v>
      </c>
    </row>
    <row r="72" spans="1:5" x14ac:dyDescent="0.2">
      <c r="A72" s="134" t="str">
        <f t="shared" si="1"/>
        <v>Connecticut - Subcounty Governments - Township Governments</v>
      </c>
      <c r="B72" s="134" t="s">
        <v>179</v>
      </c>
      <c r="C72" s="134" t="s">
        <v>633</v>
      </c>
      <c r="D72" s="136">
        <v>149</v>
      </c>
      <c r="E72" s="134" t="s">
        <v>609</v>
      </c>
    </row>
    <row r="73" spans="1:5" x14ac:dyDescent="0.2">
      <c r="A73" s="134" t="str">
        <f t="shared" si="1"/>
        <v>Connecticut - Special Purpose Governments - Special District Governments</v>
      </c>
      <c r="B73" s="134" t="s">
        <v>179</v>
      </c>
      <c r="C73" s="134" t="s">
        <v>634</v>
      </c>
      <c r="D73" s="136">
        <v>429</v>
      </c>
      <c r="E73" s="134" t="s">
        <v>609</v>
      </c>
    </row>
    <row r="74" spans="1:5" x14ac:dyDescent="0.2">
      <c r="A74" s="134" t="str">
        <f t="shared" si="1"/>
        <v>Connecticut - Special Purpose Governments - Independent School District Governments</v>
      </c>
      <c r="B74" s="134" t="s">
        <v>179</v>
      </c>
      <c r="C74" s="134" t="s">
        <v>635</v>
      </c>
      <c r="D74" s="136">
        <v>17</v>
      </c>
      <c r="E74" s="134" t="s">
        <v>609</v>
      </c>
    </row>
    <row r="75" spans="1:5" x14ac:dyDescent="0.2">
      <c r="A75" s="134" t="str">
        <f t="shared" si="1"/>
        <v>Delaware - Total Local Government Units</v>
      </c>
      <c r="B75" s="134" t="s">
        <v>180</v>
      </c>
      <c r="C75" s="134" t="s">
        <v>628</v>
      </c>
      <c r="D75" s="136">
        <v>334</v>
      </c>
      <c r="E75" s="134" t="s">
        <v>609</v>
      </c>
    </row>
    <row r="76" spans="1:5" x14ac:dyDescent="0.2">
      <c r="A76" s="134" t="str">
        <f t="shared" si="1"/>
        <v>Delaware - Special Purpose Governments</v>
      </c>
      <c r="B76" s="134" t="s">
        <v>180</v>
      </c>
      <c r="C76" s="134" t="s">
        <v>629</v>
      </c>
      <c r="D76" s="136">
        <v>274</v>
      </c>
      <c r="E76" s="134" t="s">
        <v>609</v>
      </c>
    </row>
    <row r="77" spans="1:5" x14ac:dyDescent="0.2">
      <c r="A77" s="134" t="str">
        <f t="shared" si="1"/>
        <v>Delaware - General Purpose Governments</v>
      </c>
      <c r="B77" s="134" t="s">
        <v>180</v>
      </c>
      <c r="C77" s="134" t="s">
        <v>630</v>
      </c>
      <c r="D77" s="136">
        <v>60</v>
      </c>
      <c r="E77" s="134" t="s">
        <v>609</v>
      </c>
    </row>
    <row r="78" spans="1:5" x14ac:dyDescent="0.2">
      <c r="A78" s="134" t="str">
        <f t="shared" si="1"/>
        <v>Delaware - County Governments</v>
      </c>
      <c r="B78" s="134" t="s">
        <v>180</v>
      </c>
      <c r="C78" s="134" t="s">
        <v>165</v>
      </c>
      <c r="D78" s="136">
        <v>3</v>
      </c>
      <c r="E78" s="134" t="s">
        <v>609</v>
      </c>
    </row>
    <row r="79" spans="1:5" x14ac:dyDescent="0.2">
      <c r="A79" s="134" t="str">
        <f t="shared" si="1"/>
        <v>Delaware - Subcounty Governments</v>
      </c>
      <c r="B79" s="134" t="s">
        <v>180</v>
      </c>
      <c r="C79" s="134" t="s">
        <v>631</v>
      </c>
      <c r="D79" s="136">
        <v>57</v>
      </c>
      <c r="E79" s="134" t="s">
        <v>609</v>
      </c>
    </row>
    <row r="80" spans="1:5" x14ac:dyDescent="0.2">
      <c r="A80" s="134" t="str">
        <f t="shared" si="1"/>
        <v>Delaware - Subcounty Governments - Municipal Governments</v>
      </c>
      <c r="B80" s="134" t="s">
        <v>180</v>
      </c>
      <c r="C80" s="134" t="s">
        <v>632</v>
      </c>
      <c r="D80" s="136">
        <v>57</v>
      </c>
      <c r="E80" s="134" t="s">
        <v>609</v>
      </c>
    </row>
    <row r="81" spans="1:5" x14ac:dyDescent="0.2">
      <c r="A81" s="134" t="str">
        <f t="shared" si="1"/>
        <v>Delaware - Subcounty Governments - Township Governments</v>
      </c>
      <c r="B81" s="134" t="s">
        <v>180</v>
      </c>
      <c r="C81" s="134" t="s">
        <v>633</v>
      </c>
      <c r="D81" s="136">
        <v>0</v>
      </c>
      <c r="E81" s="134" t="s">
        <v>609</v>
      </c>
    </row>
    <row r="82" spans="1:5" x14ac:dyDescent="0.2">
      <c r="A82" s="134" t="str">
        <f t="shared" si="1"/>
        <v>Delaware - Special Purpose Governments - Special District Governments</v>
      </c>
      <c r="B82" s="134" t="s">
        <v>180</v>
      </c>
      <c r="C82" s="134" t="s">
        <v>634</v>
      </c>
      <c r="D82" s="136">
        <v>255</v>
      </c>
      <c r="E82" s="134" t="s">
        <v>609</v>
      </c>
    </row>
    <row r="83" spans="1:5" x14ac:dyDescent="0.2">
      <c r="A83" s="134" t="str">
        <f t="shared" si="1"/>
        <v>Delaware - Special Purpose Governments - Independent School District Governments</v>
      </c>
      <c r="B83" s="134" t="s">
        <v>180</v>
      </c>
      <c r="C83" s="134" t="s">
        <v>635</v>
      </c>
      <c r="D83" s="136">
        <v>19</v>
      </c>
      <c r="E83" s="134" t="s">
        <v>609</v>
      </c>
    </row>
    <row r="84" spans="1:5" x14ac:dyDescent="0.2">
      <c r="A84" s="134" t="str">
        <f t="shared" si="1"/>
        <v>District of Columbia - Total Local Government Units</v>
      </c>
      <c r="B84" s="134" t="s">
        <v>181</v>
      </c>
      <c r="C84" s="134" t="s">
        <v>628</v>
      </c>
      <c r="D84" s="136">
        <v>2</v>
      </c>
      <c r="E84" s="134" t="s">
        <v>609</v>
      </c>
    </row>
    <row r="85" spans="1:5" x14ac:dyDescent="0.2">
      <c r="A85" s="134" t="str">
        <f t="shared" si="1"/>
        <v>District of Columbia - Special Purpose Governments</v>
      </c>
      <c r="B85" s="134" t="s">
        <v>181</v>
      </c>
      <c r="C85" s="134" t="s">
        <v>629</v>
      </c>
      <c r="D85" s="136">
        <v>1</v>
      </c>
      <c r="E85" s="134" t="s">
        <v>609</v>
      </c>
    </row>
    <row r="86" spans="1:5" x14ac:dyDescent="0.2">
      <c r="A86" s="134" t="str">
        <f t="shared" si="1"/>
        <v>District of Columbia - General Purpose Governments</v>
      </c>
      <c r="B86" s="134" t="s">
        <v>181</v>
      </c>
      <c r="C86" s="134" t="s">
        <v>630</v>
      </c>
      <c r="D86" s="136">
        <v>1</v>
      </c>
      <c r="E86" s="134" t="s">
        <v>609</v>
      </c>
    </row>
    <row r="87" spans="1:5" x14ac:dyDescent="0.2">
      <c r="A87" s="134" t="str">
        <f t="shared" si="1"/>
        <v>District of Columbia - County Governments</v>
      </c>
      <c r="B87" s="134" t="s">
        <v>181</v>
      </c>
      <c r="C87" s="134" t="s">
        <v>165</v>
      </c>
      <c r="D87" s="136">
        <v>0</v>
      </c>
      <c r="E87" s="134" t="s">
        <v>609</v>
      </c>
    </row>
    <row r="88" spans="1:5" x14ac:dyDescent="0.2">
      <c r="A88" s="134" t="str">
        <f t="shared" si="1"/>
        <v>District of Columbia - Subcounty Governments</v>
      </c>
      <c r="B88" s="134" t="s">
        <v>181</v>
      </c>
      <c r="C88" s="134" t="s">
        <v>631</v>
      </c>
      <c r="D88" s="136">
        <v>1</v>
      </c>
      <c r="E88" s="134" t="s">
        <v>609</v>
      </c>
    </row>
    <row r="89" spans="1:5" x14ac:dyDescent="0.2">
      <c r="A89" s="134" t="str">
        <f t="shared" si="1"/>
        <v>District of Columbia - Subcounty Governments - Municipal Governments</v>
      </c>
      <c r="B89" s="134" t="s">
        <v>181</v>
      </c>
      <c r="C89" s="134" t="s">
        <v>632</v>
      </c>
      <c r="D89" s="136">
        <v>1</v>
      </c>
      <c r="E89" s="134" t="s">
        <v>609</v>
      </c>
    </row>
    <row r="90" spans="1:5" x14ac:dyDescent="0.2">
      <c r="A90" s="134" t="str">
        <f t="shared" si="1"/>
        <v>District of Columbia - Subcounty Governments - Township Governments</v>
      </c>
      <c r="B90" s="134" t="s">
        <v>181</v>
      </c>
      <c r="C90" s="134" t="s">
        <v>633</v>
      </c>
      <c r="D90" s="136">
        <v>0</v>
      </c>
      <c r="E90" s="134" t="s">
        <v>609</v>
      </c>
    </row>
    <row r="91" spans="1:5" x14ac:dyDescent="0.2">
      <c r="A91" s="134" t="str">
        <f t="shared" si="1"/>
        <v>District of Columbia - Special Purpose Governments - Special District Governments</v>
      </c>
      <c r="B91" s="134" t="s">
        <v>181</v>
      </c>
      <c r="C91" s="134" t="s">
        <v>634</v>
      </c>
      <c r="D91" s="136">
        <v>1</v>
      </c>
      <c r="E91" s="134" t="s">
        <v>609</v>
      </c>
    </row>
    <row r="92" spans="1:5" x14ac:dyDescent="0.2">
      <c r="A92" s="134" t="str">
        <f t="shared" si="1"/>
        <v>District of Columbia - Special Purpose Governments - Independent School District Governments</v>
      </c>
      <c r="B92" s="134" t="s">
        <v>181</v>
      </c>
      <c r="C92" s="134" t="s">
        <v>635</v>
      </c>
      <c r="D92" s="136">
        <v>0</v>
      </c>
      <c r="E92" s="134" t="s">
        <v>609</v>
      </c>
    </row>
    <row r="93" spans="1:5" x14ac:dyDescent="0.2">
      <c r="A93" s="134" t="str">
        <f t="shared" si="1"/>
        <v>Florida - Total Local Government Units</v>
      </c>
      <c r="B93" s="134" t="s">
        <v>182</v>
      </c>
      <c r="C93" s="134" t="s">
        <v>628</v>
      </c>
      <c r="D93" s="136">
        <v>1712</v>
      </c>
      <c r="E93" s="134" t="s">
        <v>609</v>
      </c>
    </row>
    <row r="94" spans="1:5" x14ac:dyDescent="0.2">
      <c r="A94" s="134" t="str">
        <f t="shared" si="1"/>
        <v>Florida - Special Purpose Governments</v>
      </c>
      <c r="B94" s="134" t="s">
        <v>182</v>
      </c>
      <c r="C94" s="134" t="s">
        <v>629</v>
      </c>
      <c r="D94" s="136">
        <v>1234</v>
      </c>
      <c r="E94" s="134" t="s">
        <v>609</v>
      </c>
    </row>
    <row r="95" spans="1:5" x14ac:dyDescent="0.2">
      <c r="A95" s="134" t="str">
        <f t="shared" si="1"/>
        <v>Florida - General Purpose Governments</v>
      </c>
      <c r="B95" s="134" t="s">
        <v>182</v>
      </c>
      <c r="C95" s="134" t="s">
        <v>630</v>
      </c>
      <c r="D95" s="136">
        <v>478</v>
      </c>
      <c r="E95" s="134" t="s">
        <v>609</v>
      </c>
    </row>
    <row r="96" spans="1:5" x14ac:dyDescent="0.2">
      <c r="A96" s="134" t="str">
        <f t="shared" si="1"/>
        <v>Florida - County Governments</v>
      </c>
      <c r="B96" s="134" t="s">
        <v>182</v>
      </c>
      <c r="C96" s="134" t="s">
        <v>165</v>
      </c>
      <c r="D96" s="136">
        <v>66</v>
      </c>
      <c r="E96" s="134" t="s">
        <v>609</v>
      </c>
    </row>
    <row r="97" spans="1:5" x14ac:dyDescent="0.2">
      <c r="A97" s="134" t="str">
        <f t="shared" si="1"/>
        <v>Florida - Subcounty Governments</v>
      </c>
      <c r="B97" s="134" t="s">
        <v>182</v>
      </c>
      <c r="C97" s="134" t="s">
        <v>631</v>
      </c>
      <c r="D97" s="136">
        <v>412</v>
      </c>
      <c r="E97" s="134" t="s">
        <v>609</v>
      </c>
    </row>
    <row r="98" spans="1:5" x14ac:dyDescent="0.2">
      <c r="A98" s="134" t="str">
        <f t="shared" si="1"/>
        <v>Florida - Subcounty Governments - Municipal Governments</v>
      </c>
      <c r="B98" s="134" t="s">
        <v>182</v>
      </c>
      <c r="C98" s="134" t="s">
        <v>632</v>
      </c>
      <c r="D98" s="136">
        <v>412</v>
      </c>
      <c r="E98" s="134" t="s">
        <v>609</v>
      </c>
    </row>
    <row r="99" spans="1:5" x14ac:dyDescent="0.2">
      <c r="A99" s="134" t="str">
        <f t="shared" si="1"/>
        <v>Florida - Subcounty Governments - Township Governments</v>
      </c>
      <c r="B99" s="134" t="s">
        <v>182</v>
      </c>
      <c r="C99" s="134" t="s">
        <v>633</v>
      </c>
      <c r="D99" s="136">
        <v>0</v>
      </c>
      <c r="E99" s="134" t="s">
        <v>609</v>
      </c>
    </row>
    <row r="100" spans="1:5" x14ac:dyDescent="0.2">
      <c r="A100" s="134" t="str">
        <f t="shared" si="1"/>
        <v>Florida - Special Purpose Governments - Special District Governments</v>
      </c>
      <c r="B100" s="134" t="s">
        <v>182</v>
      </c>
      <c r="C100" s="134" t="s">
        <v>634</v>
      </c>
      <c r="D100" s="136">
        <v>1139</v>
      </c>
      <c r="E100" s="134" t="s">
        <v>609</v>
      </c>
    </row>
    <row r="101" spans="1:5" x14ac:dyDescent="0.2">
      <c r="A101" s="134" t="str">
        <f t="shared" si="1"/>
        <v>Florida - Special Purpose Governments - Independent School District Governments</v>
      </c>
      <c r="B101" s="134" t="s">
        <v>182</v>
      </c>
      <c r="C101" s="134" t="s">
        <v>635</v>
      </c>
      <c r="D101" s="136">
        <v>95</v>
      </c>
      <c r="E101" s="134" t="s">
        <v>609</v>
      </c>
    </row>
    <row r="102" spans="1:5" x14ac:dyDescent="0.2">
      <c r="A102" s="134" t="str">
        <f t="shared" si="1"/>
        <v>Georgia - Total Local Government Units</v>
      </c>
      <c r="B102" s="134" t="s">
        <v>183</v>
      </c>
      <c r="C102" s="134" t="s">
        <v>628</v>
      </c>
      <c r="D102" s="136">
        <v>1380</v>
      </c>
      <c r="E102" s="134" t="s">
        <v>609</v>
      </c>
    </row>
    <row r="103" spans="1:5" x14ac:dyDescent="0.2">
      <c r="A103" s="134" t="str">
        <f t="shared" si="1"/>
        <v>Georgia - Special Purpose Governments</v>
      </c>
      <c r="B103" s="134" t="s">
        <v>183</v>
      </c>
      <c r="C103" s="134" t="s">
        <v>629</v>
      </c>
      <c r="D103" s="136">
        <v>691</v>
      </c>
      <c r="E103" s="134" t="s">
        <v>609</v>
      </c>
    </row>
    <row r="104" spans="1:5" x14ac:dyDescent="0.2">
      <c r="A104" s="134" t="str">
        <f t="shared" si="1"/>
        <v>Georgia - General Purpose Governments</v>
      </c>
      <c r="B104" s="134" t="s">
        <v>183</v>
      </c>
      <c r="C104" s="134" t="s">
        <v>630</v>
      </c>
      <c r="D104" s="136">
        <v>689</v>
      </c>
      <c r="E104" s="134" t="s">
        <v>609</v>
      </c>
    </row>
    <row r="105" spans="1:5" x14ac:dyDescent="0.2">
      <c r="A105" s="134" t="str">
        <f t="shared" si="1"/>
        <v>Georgia - County Governments</v>
      </c>
      <c r="B105" s="134" t="s">
        <v>183</v>
      </c>
      <c r="C105" s="134" t="s">
        <v>165</v>
      </c>
      <c r="D105" s="136">
        <v>152</v>
      </c>
      <c r="E105" s="134" t="s">
        <v>609</v>
      </c>
    </row>
    <row r="106" spans="1:5" x14ac:dyDescent="0.2">
      <c r="A106" s="134" t="str">
        <f t="shared" si="1"/>
        <v>Georgia - Subcounty Governments</v>
      </c>
      <c r="B106" s="134" t="s">
        <v>183</v>
      </c>
      <c r="C106" s="134" t="s">
        <v>631</v>
      </c>
      <c r="D106" s="136">
        <v>537</v>
      </c>
      <c r="E106" s="134" t="s">
        <v>609</v>
      </c>
    </row>
    <row r="107" spans="1:5" x14ac:dyDescent="0.2">
      <c r="A107" s="134" t="str">
        <f t="shared" si="1"/>
        <v>Georgia - Subcounty Governments - Municipal Governments</v>
      </c>
      <c r="B107" s="134" t="s">
        <v>183</v>
      </c>
      <c r="C107" s="134" t="s">
        <v>632</v>
      </c>
      <c r="D107" s="136">
        <v>537</v>
      </c>
      <c r="E107" s="134" t="s">
        <v>609</v>
      </c>
    </row>
    <row r="108" spans="1:5" x14ac:dyDescent="0.2">
      <c r="A108" s="134" t="str">
        <f t="shared" si="1"/>
        <v>Georgia - Subcounty Governments - Township Governments</v>
      </c>
      <c r="B108" s="134" t="s">
        <v>183</v>
      </c>
      <c r="C108" s="134" t="s">
        <v>633</v>
      </c>
      <c r="D108" s="136">
        <v>0</v>
      </c>
      <c r="E108" s="134" t="s">
        <v>609</v>
      </c>
    </row>
    <row r="109" spans="1:5" x14ac:dyDescent="0.2">
      <c r="A109" s="134" t="str">
        <f t="shared" si="1"/>
        <v>Georgia - Special Purpose Governments - Special District Governments</v>
      </c>
      <c r="B109" s="134" t="s">
        <v>183</v>
      </c>
      <c r="C109" s="134" t="s">
        <v>634</v>
      </c>
      <c r="D109" s="136">
        <v>511</v>
      </c>
      <c r="E109" s="134" t="s">
        <v>609</v>
      </c>
    </row>
    <row r="110" spans="1:5" x14ac:dyDescent="0.2">
      <c r="A110" s="134" t="str">
        <f t="shared" si="1"/>
        <v>Georgia - Special Purpose Governments - Independent School District Governments</v>
      </c>
      <c r="B110" s="134" t="s">
        <v>183</v>
      </c>
      <c r="C110" s="134" t="s">
        <v>635</v>
      </c>
      <c r="D110" s="136">
        <v>180</v>
      </c>
      <c r="E110" s="134" t="s">
        <v>609</v>
      </c>
    </row>
    <row r="111" spans="1:5" x14ac:dyDescent="0.2">
      <c r="A111" s="134" t="str">
        <f t="shared" si="1"/>
        <v>Hawaii - Total Local Government Units</v>
      </c>
      <c r="B111" s="134" t="s">
        <v>184</v>
      </c>
      <c r="C111" s="134" t="s">
        <v>628</v>
      </c>
      <c r="D111" s="136">
        <v>21</v>
      </c>
      <c r="E111" s="134" t="s">
        <v>609</v>
      </c>
    </row>
    <row r="112" spans="1:5" x14ac:dyDescent="0.2">
      <c r="A112" s="134" t="str">
        <f t="shared" si="1"/>
        <v>Hawaii - Special Purpose Governments</v>
      </c>
      <c r="B112" s="134" t="s">
        <v>184</v>
      </c>
      <c r="C112" s="134" t="s">
        <v>629</v>
      </c>
      <c r="D112" s="136">
        <v>17</v>
      </c>
      <c r="E112" s="134" t="s">
        <v>609</v>
      </c>
    </row>
    <row r="113" spans="1:5" x14ac:dyDescent="0.2">
      <c r="A113" s="134" t="str">
        <f t="shared" si="1"/>
        <v>Hawaii - General Purpose Governments</v>
      </c>
      <c r="B113" s="134" t="s">
        <v>184</v>
      </c>
      <c r="C113" s="134" t="s">
        <v>630</v>
      </c>
      <c r="D113" s="136">
        <v>4</v>
      </c>
      <c r="E113" s="134" t="s">
        <v>609</v>
      </c>
    </row>
    <row r="114" spans="1:5" x14ac:dyDescent="0.2">
      <c r="A114" s="134" t="str">
        <f t="shared" si="1"/>
        <v>Hawaii - County Governments</v>
      </c>
      <c r="B114" s="134" t="s">
        <v>184</v>
      </c>
      <c r="C114" s="134" t="s">
        <v>165</v>
      </c>
      <c r="D114" s="136">
        <v>3</v>
      </c>
      <c r="E114" s="134" t="s">
        <v>609</v>
      </c>
    </row>
    <row r="115" spans="1:5" x14ac:dyDescent="0.2">
      <c r="A115" s="134" t="str">
        <f t="shared" si="1"/>
        <v>Hawaii - Subcounty Governments</v>
      </c>
      <c r="B115" s="134" t="s">
        <v>184</v>
      </c>
      <c r="C115" s="134" t="s">
        <v>631</v>
      </c>
      <c r="D115" s="136">
        <v>1</v>
      </c>
      <c r="E115" s="134" t="s">
        <v>609</v>
      </c>
    </row>
    <row r="116" spans="1:5" x14ac:dyDescent="0.2">
      <c r="A116" s="134" t="str">
        <f t="shared" si="1"/>
        <v>Hawaii - Subcounty Governments - Municipal Governments</v>
      </c>
      <c r="B116" s="134" t="s">
        <v>184</v>
      </c>
      <c r="C116" s="134" t="s">
        <v>632</v>
      </c>
      <c r="D116" s="136">
        <v>1</v>
      </c>
      <c r="E116" s="134" t="s">
        <v>609</v>
      </c>
    </row>
    <row r="117" spans="1:5" x14ac:dyDescent="0.2">
      <c r="A117" s="134" t="str">
        <f t="shared" si="1"/>
        <v>Hawaii - Subcounty Governments - Township Governments</v>
      </c>
      <c r="B117" s="134" t="s">
        <v>184</v>
      </c>
      <c r="C117" s="134" t="s">
        <v>633</v>
      </c>
      <c r="D117" s="136">
        <v>0</v>
      </c>
      <c r="E117" s="134" t="s">
        <v>609</v>
      </c>
    </row>
    <row r="118" spans="1:5" x14ac:dyDescent="0.2">
      <c r="A118" s="134" t="str">
        <f t="shared" si="1"/>
        <v>Hawaii - Special Purpose Governments - Special District Governments</v>
      </c>
      <c r="B118" s="134" t="s">
        <v>184</v>
      </c>
      <c r="C118" s="134" t="s">
        <v>634</v>
      </c>
      <c r="D118" s="136">
        <v>17</v>
      </c>
      <c r="E118" s="134" t="s">
        <v>609</v>
      </c>
    </row>
    <row r="119" spans="1:5" x14ac:dyDescent="0.2">
      <c r="A119" s="134" t="str">
        <f t="shared" si="1"/>
        <v>Hawaii - Special Purpose Governments - Independent School District Governments</v>
      </c>
      <c r="B119" s="134" t="s">
        <v>184</v>
      </c>
      <c r="C119" s="134" t="s">
        <v>635</v>
      </c>
      <c r="D119" s="136">
        <v>0</v>
      </c>
      <c r="E119" s="134" t="s">
        <v>609</v>
      </c>
    </row>
    <row r="120" spans="1:5" x14ac:dyDescent="0.2">
      <c r="A120" s="134" t="str">
        <f t="shared" si="1"/>
        <v>Idaho - Total Local Government Units</v>
      </c>
      <c r="B120" s="134" t="s">
        <v>185</v>
      </c>
      <c r="C120" s="134" t="s">
        <v>628</v>
      </c>
      <c r="D120" s="136">
        <v>1170</v>
      </c>
      <c r="E120" s="134" t="s">
        <v>609</v>
      </c>
    </row>
    <row r="121" spans="1:5" x14ac:dyDescent="0.2">
      <c r="A121" s="134" t="str">
        <f t="shared" si="1"/>
        <v>Idaho - Special Purpose Governments</v>
      </c>
      <c r="B121" s="134" t="s">
        <v>185</v>
      </c>
      <c r="C121" s="134" t="s">
        <v>629</v>
      </c>
      <c r="D121" s="136">
        <v>926</v>
      </c>
      <c r="E121" s="134" t="s">
        <v>609</v>
      </c>
    </row>
    <row r="122" spans="1:5" x14ac:dyDescent="0.2">
      <c r="A122" s="134" t="str">
        <f t="shared" si="1"/>
        <v>Idaho - General Purpose Governments</v>
      </c>
      <c r="B122" s="134" t="s">
        <v>185</v>
      </c>
      <c r="C122" s="134" t="s">
        <v>630</v>
      </c>
      <c r="D122" s="136">
        <v>244</v>
      </c>
      <c r="E122" s="134" t="s">
        <v>609</v>
      </c>
    </row>
    <row r="123" spans="1:5" x14ac:dyDescent="0.2">
      <c r="A123" s="134" t="str">
        <f t="shared" si="1"/>
        <v>Idaho - County Governments</v>
      </c>
      <c r="B123" s="134" t="s">
        <v>185</v>
      </c>
      <c r="C123" s="134" t="s">
        <v>165</v>
      </c>
      <c r="D123" s="136">
        <v>44</v>
      </c>
      <c r="E123" s="134" t="s">
        <v>609</v>
      </c>
    </row>
    <row r="124" spans="1:5" x14ac:dyDescent="0.2">
      <c r="A124" s="134" t="str">
        <f t="shared" si="1"/>
        <v>Idaho - Subcounty Governments</v>
      </c>
      <c r="B124" s="134" t="s">
        <v>185</v>
      </c>
      <c r="C124" s="134" t="s">
        <v>631</v>
      </c>
      <c r="D124" s="136">
        <v>200</v>
      </c>
      <c r="E124" s="134" t="s">
        <v>609</v>
      </c>
    </row>
    <row r="125" spans="1:5" x14ac:dyDescent="0.2">
      <c r="A125" s="134" t="str">
        <f t="shared" si="1"/>
        <v>Idaho - Subcounty Governments - Municipal Governments</v>
      </c>
      <c r="B125" s="134" t="s">
        <v>185</v>
      </c>
      <c r="C125" s="134" t="s">
        <v>632</v>
      </c>
      <c r="D125" s="136">
        <v>200</v>
      </c>
      <c r="E125" s="134" t="s">
        <v>609</v>
      </c>
    </row>
    <row r="126" spans="1:5" x14ac:dyDescent="0.2">
      <c r="A126" s="134" t="str">
        <f t="shared" si="1"/>
        <v>Idaho - Subcounty Governments - Township Governments</v>
      </c>
      <c r="B126" s="134" t="s">
        <v>185</v>
      </c>
      <c r="C126" s="134" t="s">
        <v>633</v>
      </c>
      <c r="D126" s="136">
        <v>0</v>
      </c>
      <c r="E126" s="134" t="s">
        <v>609</v>
      </c>
    </row>
    <row r="127" spans="1:5" x14ac:dyDescent="0.2">
      <c r="A127" s="134" t="str">
        <f t="shared" si="1"/>
        <v>Idaho - Special Purpose Governments - Special District Governments</v>
      </c>
      <c r="B127" s="134" t="s">
        <v>185</v>
      </c>
      <c r="C127" s="134" t="s">
        <v>634</v>
      </c>
      <c r="D127" s="136">
        <v>808</v>
      </c>
      <c r="E127" s="134" t="s">
        <v>609</v>
      </c>
    </row>
    <row r="128" spans="1:5" x14ac:dyDescent="0.2">
      <c r="A128" s="134" t="str">
        <f t="shared" si="1"/>
        <v>Idaho - Special Purpose Governments - Independent School District Governments</v>
      </c>
      <c r="B128" s="134" t="s">
        <v>185</v>
      </c>
      <c r="C128" s="134" t="s">
        <v>635</v>
      </c>
      <c r="D128" s="136">
        <v>118</v>
      </c>
      <c r="E128" s="134" t="s">
        <v>609</v>
      </c>
    </row>
    <row r="129" spans="1:5" x14ac:dyDescent="0.2">
      <c r="A129" s="134" t="str">
        <f t="shared" si="1"/>
        <v>Illinois - Total Local Government Units</v>
      </c>
      <c r="B129" s="134" t="s">
        <v>186</v>
      </c>
      <c r="C129" s="134" t="s">
        <v>628</v>
      </c>
      <c r="D129" s="136">
        <v>6918</v>
      </c>
      <c r="E129" s="134" t="s">
        <v>609</v>
      </c>
    </row>
    <row r="130" spans="1:5" x14ac:dyDescent="0.2">
      <c r="A130" s="134" t="str">
        <f t="shared" si="1"/>
        <v>Illinois - Special Purpose Governments</v>
      </c>
      <c r="B130" s="134" t="s">
        <v>186</v>
      </c>
      <c r="C130" s="134" t="s">
        <v>629</v>
      </c>
      <c r="D130" s="136">
        <v>4090</v>
      </c>
      <c r="E130" s="134" t="s">
        <v>609</v>
      </c>
    </row>
    <row r="131" spans="1:5" x14ac:dyDescent="0.2">
      <c r="A131" s="134" t="str">
        <f t="shared" si="1"/>
        <v>Illinois - General Purpose Governments</v>
      </c>
      <c r="B131" s="134" t="s">
        <v>186</v>
      </c>
      <c r="C131" s="134" t="s">
        <v>630</v>
      </c>
      <c r="D131" s="136">
        <v>2828</v>
      </c>
      <c r="E131" s="134" t="s">
        <v>609</v>
      </c>
    </row>
    <row r="132" spans="1:5" x14ac:dyDescent="0.2">
      <c r="A132" s="134" t="str">
        <f t="shared" ref="A132:A195" si="2">_xlfn.CONCAT(B132," - ",C132)</f>
        <v>Illinois - County Governments</v>
      </c>
      <c r="B132" s="134" t="s">
        <v>186</v>
      </c>
      <c r="C132" s="134" t="s">
        <v>165</v>
      </c>
      <c r="D132" s="136">
        <v>102</v>
      </c>
      <c r="E132" s="134" t="s">
        <v>609</v>
      </c>
    </row>
    <row r="133" spans="1:5" x14ac:dyDescent="0.2">
      <c r="A133" s="134" t="str">
        <f t="shared" si="2"/>
        <v>Illinois - Subcounty Governments</v>
      </c>
      <c r="B133" s="134" t="s">
        <v>186</v>
      </c>
      <c r="C133" s="134" t="s">
        <v>631</v>
      </c>
      <c r="D133" s="136">
        <v>2726</v>
      </c>
      <c r="E133" s="134" t="s">
        <v>609</v>
      </c>
    </row>
    <row r="134" spans="1:5" x14ac:dyDescent="0.2">
      <c r="A134" s="134" t="str">
        <f t="shared" si="2"/>
        <v>Illinois - Subcounty Governments - Municipal Governments</v>
      </c>
      <c r="B134" s="134" t="s">
        <v>186</v>
      </c>
      <c r="C134" s="134" t="s">
        <v>632</v>
      </c>
      <c r="D134" s="136">
        <v>1297</v>
      </c>
      <c r="E134" s="134" t="s">
        <v>609</v>
      </c>
    </row>
    <row r="135" spans="1:5" x14ac:dyDescent="0.2">
      <c r="A135" s="134" t="str">
        <f t="shared" si="2"/>
        <v>Illinois - Subcounty Governments - Township Governments</v>
      </c>
      <c r="B135" s="134" t="s">
        <v>186</v>
      </c>
      <c r="C135" s="134" t="s">
        <v>633</v>
      </c>
      <c r="D135" s="136">
        <v>1429</v>
      </c>
      <c r="E135" s="134" t="s">
        <v>609</v>
      </c>
    </row>
    <row r="136" spans="1:5" x14ac:dyDescent="0.2">
      <c r="A136" s="134" t="str">
        <f t="shared" si="2"/>
        <v>Illinois - Special Purpose Governments - Special District Governments</v>
      </c>
      <c r="B136" s="134" t="s">
        <v>186</v>
      </c>
      <c r="C136" s="134" t="s">
        <v>634</v>
      </c>
      <c r="D136" s="136">
        <v>3204</v>
      </c>
      <c r="E136" s="134" t="s">
        <v>609</v>
      </c>
    </row>
    <row r="137" spans="1:5" x14ac:dyDescent="0.2">
      <c r="A137" s="134" t="str">
        <f t="shared" si="2"/>
        <v>Illinois - Special Purpose Governments - Independent School District Governments</v>
      </c>
      <c r="B137" s="134" t="s">
        <v>186</v>
      </c>
      <c r="C137" s="134" t="s">
        <v>635</v>
      </c>
      <c r="D137" s="136">
        <v>886</v>
      </c>
      <c r="E137" s="134" t="s">
        <v>609</v>
      </c>
    </row>
    <row r="138" spans="1:5" x14ac:dyDescent="0.2">
      <c r="A138" s="134" t="str">
        <f t="shared" si="2"/>
        <v>Indiana - Total Local Government Units</v>
      </c>
      <c r="B138" s="134" t="s">
        <v>187</v>
      </c>
      <c r="C138" s="134" t="s">
        <v>628</v>
      </c>
      <c r="D138" s="136">
        <v>2638</v>
      </c>
      <c r="E138" s="134" t="s">
        <v>609</v>
      </c>
    </row>
    <row r="139" spans="1:5" x14ac:dyDescent="0.2">
      <c r="A139" s="134" t="str">
        <f t="shared" si="2"/>
        <v>Indiana - Special Purpose Governments</v>
      </c>
      <c r="B139" s="134" t="s">
        <v>187</v>
      </c>
      <c r="C139" s="134" t="s">
        <v>629</v>
      </c>
      <c r="D139" s="136">
        <v>976</v>
      </c>
      <c r="E139" s="134" t="s">
        <v>609</v>
      </c>
    </row>
    <row r="140" spans="1:5" x14ac:dyDescent="0.2">
      <c r="A140" s="134" t="str">
        <f t="shared" si="2"/>
        <v>Indiana - General Purpose Governments</v>
      </c>
      <c r="B140" s="134" t="s">
        <v>187</v>
      </c>
      <c r="C140" s="134" t="s">
        <v>630</v>
      </c>
      <c r="D140" s="136">
        <v>1662</v>
      </c>
      <c r="E140" s="134" t="s">
        <v>609</v>
      </c>
    </row>
    <row r="141" spans="1:5" x14ac:dyDescent="0.2">
      <c r="A141" s="134" t="str">
        <f t="shared" si="2"/>
        <v>Indiana - County Governments</v>
      </c>
      <c r="B141" s="134" t="s">
        <v>187</v>
      </c>
      <c r="C141" s="134" t="s">
        <v>165</v>
      </c>
      <c r="D141" s="136">
        <v>91</v>
      </c>
      <c r="E141" s="134" t="s">
        <v>609</v>
      </c>
    </row>
    <row r="142" spans="1:5" x14ac:dyDescent="0.2">
      <c r="A142" s="134" t="str">
        <f t="shared" si="2"/>
        <v>Indiana - Subcounty Governments</v>
      </c>
      <c r="B142" s="134" t="s">
        <v>187</v>
      </c>
      <c r="C142" s="134" t="s">
        <v>631</v>
      </c>
      <c r="D142" s="136">
        <v>1571</v>
      </c>
      <c r="E142" s="134" t="s">
        <v>609</v>
      </c>
    </row>
    <row r="143" spans="1:5" x14ac:dyDescent="0.2">
      <c r="A143" s="134" t="str">
        <f t="shared" si="2"/>
        <v>Indiana - Subcounty Governments - Municipal Governments</v>
      </c>
      <c r="B143" s="134" t="s">
        <v>187</v>
      </c>
      <c r="C143" s="134" t="s">
        <v>632</v>
      </c>
      <c r="D143" s="136">
        <v>567</v>
      </c>
      <c r="E143" s="134" t="s">
        <v>609</v>
      </c>
    </row>
    <row r="144" spans="1:5" x14ac:dyDescent="0.2">
      <c r="A144" s="134" t="str">
        <f t="shared" si="2"/>
        <v>Indiana - Subcounty Governments - Township Governments</v>
      </c>
      <c r="B144" s="134" t="s">
        <v>187</v>
      </c>
      <c r="C144" s="134" t="s">
        <v>633</v>
      </c>
      <c r="D144" s="136">
        <v>1004</v>
      </c>
      <c r="E144" s="134" t="s">
        <v>609</v>
      </c>
    </row>
    <row r="145" spans="1:5" x14ac:dyDescent="0.2">
      <c r="A145" s="134" t="str">
        <f t="shared" si="2"/>
        <v>Indiana - Special Purpose Governments - Special District Governments</v>
      </c>
      <c r="B145" s="134" t="s">
        <v>187</v>
      </c>
      <c r="C145" s="134" t="s">
        <v>634</v>
      </c>
      <c r="D145" s="136">
        <v>687</v>
      </c>
      <c r="E145" s="134" t="s">
        <v>609</v>
      </c>
    </row>
    <row r="146" spans="1:5" x14ac:dyDescent="0.2">
      <c r="A146" s="134" t="str">
        <f t="shared" si="2"/>
        <v>Indiana - Special Purpose Governments - Independent School District Governments</v>
      </c>
      <c r="B146" s="134" t="s">
        <v>187</v>
      </c>
      <c r="C146" s="134" t="s">
        <v>635</v>
      </c>
      <c r="D146" s="136">
        <v>289</v>
      </c>
      <c r="E146" s="134" t="s">
        <v>609</v>
      </c>
    </row>
    <row r="147" spans="1:5" x14ac:dyDescent="0.2">
      <c r="A147" s="134" t="str">
        <f t="shared" si="2"/>
        <v>Iowa - Total Local Government Units</v>
      </c>
      <c r="B147" s="134" t="s">
        <v>188</v>
      </c>
      <c r="C147" s="134" t="s">
        <v>628</v>
      </c>
      <c r="D147" s="136">
        <v>1941</v>
      </c>
      <c r="E147" s="134" t="s">
        <v>609</v>
      </c>
    </row>
    <row r="148" spans="1:5" x14ac:dyDescent="0.2">
      <c r="A148" s="134" t="str">
        <f t="shared" si="2"/>
        <v>Iowa - Special Purpose Governments</v>
      </c>
      <c r="B148" s="134" t="s">
        <v>188</v>
      </c>
      <c r="C148" s="134" t="s">
        <v>629</v>
      </c>
      <c r="D148" s="136">
        <v>899</v>
      </c>
      <c r="E148" s="134" t="s">
        <v>609</v>
      </c>
    </row>
    <row r="149" spans="1:5" x14ac:dyDescent="0.2">
      <c r="A149" s="134" t="str">
        <f t="shared" si="2"/>
        <v>Iowa - General Purpose Governments</v>
      </c>
      <c r="B149" s="134" t="s">
        <v>188</v>
      </c>
      <c r="C149" s="134" t="s">
        <v>630</v>
      </c>
      <c r="D149" s="136">
        <v>1042</v>
      </c>
      <c r="E149" s="134" t="s">
        <v>609</v>
      </c>
    </row>
    <row r="150" spans="1:5" x14ac:dyDescent="0.2">
      <c r="A150" s="134" t="str">
        <f t="shared" si="2"/>
        <v>Iowa - County Governments</v>
      </c>
      <c r="B150" s="134" t="s">
        <v>188</v>
      </c>
      <c r="C150" s="134" t="s">
        <v>165</v>
      </c>
      <c r="D150" s="136">
        <v>99</v>
      </c>
      <c r="E150" s="134" t="s">
        <v>609</v>
      </c>
    </row>
    <row r="151" spans="1:5" x14ac:dyDescent="0.2">
      <c r="A151" s="134" t="str">
        <f t="shared" si="2"/>
        <v>Iowa - Subcounty Governments</v>
      </c>
      <c r="B151" s="134" t="s">
        <v>188</v>
      </c>
      <c r="C151" s="134" t="s">
        <v>631</v>
      </c>
      <c r="D151" s="136">
        <v>943</v>
      </c>
      <c r="E151" s="134" t="s">
        <v>609</v>
      </c>
    </row>
    <row r="152" spans="1:5" x14ac:dyDescent="0.2">
      <c r="A152" s="134" t="str">
        <f t="shared" si="2"/>
        <v>Iowa - Subcounty Governments - Municipal Governments</v>
      </c>
      <c r="B152" s="134" t="s">
        <v>188</v>
      </c>
      <c r="C152" s="134" t="s">
        <v>632</v>
      </c>
      <c r="D152" s="136">
        <v>943</v>
      </c>
      <c r="E152" s="134" t="s">
        <v>609</v>
      </c>
    </row>
    <row r="153" spans="1:5" x14ac:dyDescent="0.2">
      <c r="A153" s="134" t="str">
        <f t="shared" si="2"/>
        <v>Iowa - Subcounty Governments - Township Governments</v>
      </c>
      <c r="B153" s="134" t="s">
        <v>188</v>
      </c>
      <c r="C153" s="134" t="s">
        <v>633</v>
      </c>
      <c r="D153" s="136">
        <v>0</v>
      </c>
      <c r="E153" s="134" t="s">
        <v>609</v>
      </c>
    </row>
    <row r="154" spans="1:5" x14ac:dyDescent="0.2">
      <c r="A154" s="134" t="str">
        <f t="shared" si="2"/>
        <v>Iowa - Special Purpose Governments - Special District Governments</v>
      </c>
      <c r="B154" s="134" t="s">
        <v>188</v>
      </c>
      <c r="C154" s="134" t="s">
        <v>634</v>
      </c>
      <c r="D154" s="136">
        <v>551</v>
      </c>
      <c r="E154" s="134" t="s">
        <v>609</v>
      </c>
    </row>
    <row r="155" spans="1:5" x14ac:dyDescent="0.2">
      <c r="A155" s="134" t="str">
        <f t="shared" si="2"/>
        <v>Iowa - Special Purpose Governments - Independent School District Governments</v>
      </c>
      <c r="B155" s="134" t="s">
        <v>188</v>
      </c>
      <c r="C155" s="134" t="s">
        <v>635</v>
      </c>
      <c r="D155" s="136">
        <v>348</v>
      </c>
      <c r="E155" s="134" t="s">
        <v>609</v>
      </c>
    </row>
    <row r="156" spans="1:5" x14ac:dyDescent="0.2">
      <c r="A156" s="134" t="str">
        <f t="shared" si="2"/>
        <v>Kansas - Total Local Government Units</v>
      </c>
      <c r="B156" s="134" t="s">
        <v>189</v>
      </c>
      <c r="C156" s="134" t="s">
        <v>628</v>
      </c>
      <c r="D156" s="136">
        <v>3792</v>
      </c>
      <c r="E156" s="134" t="s">
        <v>609</v>
      </c>
    </row>
    <row r="157" spans="1:5" x14ac:dyDescent="0.2">
      <c r="A157" s="134" t="str">
        <f t="shared" si="2"/>
        <v>Kansas - Special Purpose Governments</v>
      </c>
      <c r="B157" s="134" t="s">
        <v>189</v>
      </c>
      <c r="C157" s="134" t="s">
        <v>629</v>
      </c>
      <c r="D157" s="136">
        <v>1799</v>
      </c>
      <c r="E157" s="134" t="s">
        <v>609</v>
      </c>
    </row>
    <row r="158" spans="1:5" x14ac:dyDescent="0.2">
      <c r="A158" s="134" t="str">
        <f t="shared" si="2"/>
        <v>Kansas - General Purpose Governments</v>
      </c>
      <c r="B158" s="134" t="s">
        <v>189</v>
      </c>
      <c r="C158" s="134" t="s">
        <v>630</v>
      </c>
      <c r="D158" s="136">
        <v>1993</v>
      </c>
      <c r="E158" s="134" t="s">
        <v>609</v>
      </c>
    </row>
    <row r="159" spans="1:5" x14ac:dyDescent="0.2">
      <c r="A159" s="134" t="str">
        <f t="shared" si="2"/>
        <v>Kansas - County Governments</v>
      </c>
      <c r="B159" s="134" t="s">
        <v>189</v>
      </c>
      <c r="C159" s="134" t="s">
        <v>165</v>
      </c>
      <c r="D159" s="136">
        <v>103</v>
      </c>
      <c r="E159" s="134" t="s">
        <v>609</v>
      </c>
    </row>
    <row r="160" spans="1:5" x14ac:dyDescent="0.2">
      <c r="A160" s="134" t="str">
        <f t="shared" si="2"/>
        <v>Kansas - Subcounty Governments</v>
      </c>
      <c r="B160" s="134" t="s">
        <v>189</v>
      </c>
      <c r="C160" s="134" t="s">
        <v>631</v>
      </c>
      <c r="D160" s="136">
        <v>1890</v>
      </c>
      <c r="E160" s="134" t="s">
        <v>609</v>
      </c>
    </row>
    <row r="161" spans="1:5" x14ac:dyDescent="0.2">
      <c r="A161" s="134" t="str">
        <f t="shared" si="2"/>
        <v>Kansas - Subcounty Governments - Municipal Governments</v>
      </c>
      <c r="B161" s="134" t="s">
        <v>189</v>
      </c>
      <c r="C161" s="134" t="s">
        <v>632</v>
      </c>
      <c r="D161" s="136">
        <v>625</v>
      </c>
      <c r="E161" s="134" t="s">
        <v>609</v>
      </c>
    </row>
    <row r="162" spans="1:5" x14ac:dyDescent="0.2">
      <c r="A162" s="134" t="str">
        <f t="shared" si="2"/>
        <v>Kansas - Subcounty Governments - Township Governments</v>
      </c>
      <c r="B162" s="134" t="s">
        <v>189</v>
      </c>
      <c r="C162" s="134" t="s">
        <v>633</v>
      </c>
      <c r="D162" s="136">
        <v>1265</v>
      </c>
      <c r="E162" s="134" t="s">
        <v>609</v>
      </c>
    </row>
    <row r="163" spans="1:5" x14ac:dyDescent="0.2">
      <c r="A163" s="134" t="str">
        <f t="shared" si="2"/>
        <v>Kansas - Special Purpose Governments - Special District Governments</v>
      </c>
      <c r="B163" s="134" t="s">
        <v>189</v>
      </c>
      <c r="C163" s="134" t="s">
        <v>634</v>
      </c>
      <c r="D163" s="136">
        <v>1493</v>
      </c>
      <c r="E163" s="134" t="s">
        <v>609</v>
      </c>
    </row>
    <row r="164" spans="1:5" x14ac:dyDescent="0.2">
      <c r="A164" s="134" t="str">
        <f t="shared" si="2"/>
        <v>Kansas - Special Purpose Governments - Independent School District Governments</v>
      </c>
      <c r="B164" s="134" t="s">
        <v>189</v>
      </c>
      <c r="C164" s="134" t="s">
        <v>635</v>
      </c>
      <c r="D164" s="136">
        <v>306</v>
      </c>
      <c r="E164" s="134" t="s">
        <v>609</v>
      </c>
    </row>
    <row r="165" spans="1:5" x14ac:dyDescent="0.2">
      <c r="A165" s="134" t="str">
        <f t="shared" si="2"/>
        <v>Kentucky - Total Local Government Units</v>
      </c>
      <c r="B165" s="134" t="s">
        <v>190</v>
      </c>
      <c r="C165" s="134" t="s">
        <v>628</v>
      </c>
      <c r="D165" s="136">
        <v>1322</v>
      </c>
      <c r="E165" s="134" t="s">
        <v>609</v>
      </c>
    </row>
    <row r="166" spans="1:5" x14ac:dyDescent="0.2">
      <c r="A166" s="134" t="str">
        <f t="shared" si="2"/>
        <v>Kentucky - Special Purpose Governments</v>
      </c>
      <c r="B166" s="134" t="s">
        <v>190</v>
      </c>
      <c r="C166" s="134" t="s">
        <v>629</v>
      </c>
      <c r="D166" s="136">
        <v>787</v>
      </c>
      <c r="E166" s="134" t="s">
        <v>609</v>
      </c>
    </row>
    <row r="167" spans="1:5" x14ac:dyDescent="0.2">
      <c r="A167" s="134" t="str">
        <f t="shared" si="2"/>
        <v>Kentucky - General Purpose Governments</v>
      </c>
      <c r="B167" s="134" t="s">
        <v>190</v>
      </c>
      <c r="C167" s="134" t="s">
        <v>630</v>
      </c>
      <c r="D167" s="136">
        <v>535</v>
      </c>
      <c r="E167" s="134" t="s">
        <v>609</v>
      </c>
    </row>
    <row r="168" spans="1:5" x14ac:dyDescent="0.2">
      <c r="A168" s="134" t="str">
        <f t="shared" si="2"/>
        <v>Kentucky - County Governments</v>
      </c>
      <c r="B168" s="134" t="s">
        <v>190</v>
      </c>
      <c r="C168" s="134" t="s">
        <v>165</v>
      </c>
      <c r="D168" s="136">
        <v>118</v>
      </c>
      <c r="E168" s="134" t="s">
        <v>609</v>
      </c>
    </row>
    <row r="169" spans="1:5" x14ac:dyDescent="0.2">
      <c r="A169" s="134" t="str">
        <f t="shared" si="2"/>
        <v>Kentucky - Subcounty Governments</v>
      </c>
      <c r="B169" s="134" t="s">
        <v>190</v>
      </c>
      <c r="C169" s="134" t="s">
        <v>631</v>
      </c>
      <c r="D169" s="136">
        <v>417</v>
      </c>
      <c r="E169" s="134" t="s">
        <v>609</v>
      </c>
    </row>
    <row r="170" spans="1:5" x14ac:dyDescent="0.2">
      <c r="A170" s="134" t="str">
        <f t="shared" si="2"/>
        <v>Kentucky - Subcounty Governments - Municipal Governments</v>
      </c>
      <c r="B170" s="134" t="s">
        <v>190</v>
      </c>
      <c r="C170" s="134" t="s">
        <v>632</v>
      </c>
      <c r="D170" s="136">
        <v>417</v>
      </c>
      <c r="E170" s="134" t="s">
        <v>609</v>
      </c>
    </row>
    <row r="171" spans="1:5" x14ac:dyDescent="0.2">
      <c r="A171" s="134" t="str">
        <f t="shared" si="2"/>
        <v>Kentucky - Subcounty Governments - Township Governments</v>
      </c>
      <c r="B171" s="134" t="s">
        <v>190</v>
      </c>
      <c r="C171" s="134" t="s">
        <v>633</v>
      </c>
      <c r="D171" s="136">
        <v>0</v>
      </c>
      <c r="E171" s="134" t="s">
        <v>609</v>
      </c>
    </row>
    <row r="172" spans="1:5" x14ac:dyDescent="0.2">
      <c r="A172" s="134" t="str">
        <f t="shared" si="2"/>
        <v>Kentucky - Special Purpose Governments - Special District Governments</v>
      </c>
      <c r="B172" s="134" t="s">
        <v>190</v>
      </c>
      <c r="C172" s="134" t="s">
        <v>634</v>
      </c>
      <c r="D172" s="136">
        <v>614</v>
      </c>
      <c r="E172" s="134" t="s">
        <v>609</v>
      </c>
    </row>
    <row r="173" spans="1:5" x14ac:dyDescent="0.2">
      <c r="A173" s="134" t="str">
        <f t="shared" si="2"/>
        <v>Kentucky - Special Purpose Governments - Independent School District Governments</v>
      </c>
      <c r="B173" s="134" t="s">
        <v>190</v>
      </c>
      <c r="C173" s="134" t="s">
        <v>635</v>
      </c>
      <c r="D173" s="136">
        <v>173</v>
      </c>
      <c r="E173" s="134" t="s">
        <v>609</v>
      </c>
    </row>
    <row r="174" spans="1:5" x14ac:dyDescent="0.2">
      <c r="A174" s="134" t="str">
        <f t="shared" si="2"/>
        <v>Louisiana - Total Local Government Units</v>
      </c>
      <c r="B174" s="134" t="s">
        <v>191</v>
      </c>
      <c r="C174" s="134" t="s">
        <v>628</v>
      </c>
      <c r="D174" s="136">
        <v>516</v>
      </c>
      <c r="E174" s="134" t="s">
        <v>609</v>
      </c>
    </row>
    <row r="175" spans="1:5" x14ac:dyDescent="0.2">
      <c r="A175" s="134" t="str">
        <f t="shared" si="2"/>
        <v>Louisiana - Special Purpose Governments</v>
      </c>
      <c r="B175" s="134" t="s">
        <v>191</v>
      </c>
      <c r="C175" s="134" t="s">
        <v>629</v>
      </c>
      <c r="D175" s="136">
        <v>152</v>
      </c>
      <c r="E175" s="134" t="s">
        <v>609</v>
      </c>
    </row>
    <row r="176" spans="1:5" x14ac:dyDescent="0.2">
      <c r="A176" s="134" t="str">
        <f t="shared" si="2"/>
        <v>Louisiana - General Purpose Governments</v>
      </c>
      <c r="B176" s="134" t="s">
        <v>191</v>
      </c>
      <c r="C176" s="134" t="s">
        <v>630</v>
      </c>
      <c r="D176" s="136">
        <v>364</v>
      </c>
      <c r="E176" s="134" t="s">
        <v>609</v>
      </c>
    </row>
    <row r="177" spans="1:5" x14ac:dyDescent="0.2">
      <c r="A177" s="134" t="str">
        <f t="shared" si="2"/>
        <v>Louisiana - County Governments</v>
      </c>
      <c r="B177" s="134" t="s">
        <v>191</v>
      </c>
      <c r="C177" s="134" t="s">
        <v>165</v>
      </c>
      <c r="D177" s="136">
        <v>60</v>
      </c>
      <c r="E177" s="134" t="s">
        <v>609</v>
      </c>
    </row>
    <row r="178" spans="1:5" x14ac:dyDescent="0.2">
      <c r="A178" s="134" t="str">
        <f t="shared" si="2"/>
        <v>Louisiana - Subcounty Governments</v>
      </c>
      <c r="B178" s="134" t="s">
        <v>191</v>
      </c>
      <c r="C178" s="134" t="s">
        <v>631</v>
      </c>
      <c r="D178" s="136">
        <v>304</v>
      </c>
      <c r="E178" s="134" t="s">
        <v>609</v>
      </c>
    </row>
    <row r="179" spans="1:5" x14ac:dyDescent="0.2">
      <c r="A179" s="134" t="str">
        <f t="shared" si="2"/>
        <v>Louisiana - Subcounty Governments - Municipal Governments</v>
      </c>
      <c r="B179" s="134" t="s">
        <v>191</v>
      </c>
      <c r="C179" s="134" t="s">
        <v>632</v>
      </c>
      <c r="D179" s="136">
        <v>304</v>
      </c>
      <c r="E179" s="134" t="s">
        <v>609</v>
      </c>
    </row>
    <row r="180" spans="1:5" x14ac:dyDescent="0.2">
      <c r="A180" s="134" t="str">
        <f t="shared" si="2"/>
        <v>Louisiana - Subcounty Governments - Township Governments</v>
      </c>
      <c r="B180" s="134" t="s">
        <v>191</v>
      </c>
      <c r="C180" s="134" t="s">
        <v>633</v>
      </c>
      <c r="D180" s="136">
        <v>0</v>
      </c>
      <c r="E180" s="134" t="s">
        <v>609</v>
      </c>
    </row>
    <row r="181" spans="1:5" x14ac:dyDescent="0.2">
      <c r="A181" s="134" t="str">
        <f t="shared" si="2"/>
        <v>Louisiana - Special Purpose Governments - Special District Governments</v>
      </c>
      <c r="B181" s="134" t="s">
        <v>191</v>
      </c>
      <c r="C181" s="134" t="s">
        <v>634</v>
      </c>
      <c r="D181" s="136">
        <v>83</v>
      </c>
      <c r="E181" s="134" t="s">
        <v>609</v>
      </c>
    </row>
    <row r="182" spans="1:5" x14ac:dyDescent="0.2">
      <c r="A182" s="134" t="str">
        <f t="shared" si="2"/>
        <v>Louisiana - Special Purpose Governments - Independent School District Governments</v>
      </c>
      <c r="B182" s="134" t="s">
        <v>191</v>
      </c>
      <c r="C182" s="134" t="s">
        <v>635</v>
      </c>
      <c r="D182" s="136">
        <v>69</v>
      </c>
      <c r="E182" s="134" t="s">
        <v>609</v>
      </c>
    </row>
    <row r="183" spans="1:5" x14ac:dyDescent="0.2">
      <c r="A183" s="134" t="str">
        <f t="shared" si="2"/>
        <v>Maine - Total Local Government Units</v>
      </c>
      <c r="B183" s="134" t="s">
        <v>192</v>
      </c>
      <c r="C183" s="134" t="s">
        <v>628</v>
      </c>
      <c r="D183" s="136">
        <v>834</v>
      </c>
      <c r="E183" s="134" t="s">
        <v>609</v>
      </c>
    </row>
    <row r="184" spans="1:5" x14ac:dyDescent="0.2">
      <c r="A184" s="134" t="str">
        <f t="shared" si="2"/>
        <v>Maine - Special Purpose Governments</v>
      </c>
      <c r="B184" s="134" t="s">
        <v>192</v>
      </c>
      <c r="C184" s="134" t="s">
        <v>629</v>
      </c>
      <c r="D184" s="136">
        <v>330</v>
      </c>
      <c r="E184" s="134" t="s">
        <v>609</v>
      </c>
    </row>
    <row r="185" spans="1:5" x14ac:dyDescent="0.2">
      <c r="A185" s="134" t="str">
        <f t="shared" si="2"/>
        <v>Maine - General Purpose Governments</v>
      </c>
      <c r="B185" s="134" t="s">
        <v>192</v>
      </c>
      <c r="C185" s="134" t="s">
        <v>630</v>
      </c>
      <c r="D185" s="136">
        <v>504</v>
      </c>
      <c r="E185" s="134" t="s">
        <v>609</v>
      </c>
    </row>
    <row r="186" spans="1:5" x14ac:dyDescent="0.2">
      <c r="A186" s="134" t="str">
        <f t="shared" si="2"/>
        <v>Maine - County Governments</v>
      </c>
      <c r="B186" s="134" t="s">
        <v>192</v>
      </c>
      <c r="C186" s="134" t="s">
        <v>165</v>
      </c>
      <c r="D186" s="136">
        <v>16</v>
      </c>
      <c r="E186" s="134" t="s">
        <v>609</v>
      </c>
    </row>
    <row r="187" spans="1:5" x14ac:dyDescent="0.2">
      <c r="A187" s="134" t="str">
        <f t="shared" si="2"/>
        <v>Maine - Subcounty Governments</v>
      </c>
      <c r="B187" s="134" t="s">
        <v>192</v>
      </c>
      <c r="C187" s="134" t="s">
        <v>631</v>
      </c>
      <c r="D187" s="136">
        <v>488</v>
      </c>
      <c r="E187" s="134" t="s">
        <v>609</v>
      </c>
    </row>
    <row r="188" spans="1:5" x14ac:dyDescent="0.2">
      <c r="A188" s="134" t="str">
        <f t="shared" si="2"/>
        <v>Maine - Subcounty Governments - Municipal Governments</v>
      </c>
      <c r="B188" s="134" t="s">
        <v>192</v>
      </c>
      <c r="C188" s="134" t="s">
        <v>632</v>
      </c>
      <c r="D188" s="136">
        <v>23</v>
      </c>
      <c r="E188" s="134" t="s">
        <v>609</v>
      </c>
    </row>
    <row r="189" spans="1:5" x14ac:dyDescent="0.2">
      <c r="A189" s="134" t="str">
        <f t="shared" si="2"/>
        <v>Maine - Subcounty Governments - Township Governments</v>
      </c>
      <c r="B189" s="134" t="s">
        <v>192</v>
      </c>
      <c r="C189" s="134" t="s">
        <v>633</v>
      </c>
      <c r="D189" s="136">
        <v>465</v>
      </c>
      <c r="E189" s="134" t="s">
        <v>609</v>
      </c>
    </row>
    <row r="190" spans="1:5" x14ac:dyDescent="0.2">
      <c r="A190" s="134" t="str">
        <f t="shared" si="2"/>
        <v>Maine - Special Purpose Governments - Special District Governments</v>
      </c>
      <c r="B190" s="134" t="s">
        <v>192</v>
      </c>
      <c r="C190" s="134" t="s">
        <v>634</v>
      </c>
      <c r="D190" s="136">
        <v>232</v>
      </c>
      <c r="E190" s="134" t="s">
        <v>609</v>
      </c>
    </row>
    <row r="191" spans="1:5" x14ac:dyDescent="0.2">
      <c r="A191" s="134" t="str">
        <f t="shared" si="2"/>
        <v>Maine - Special Purpose Governments - Independent School District Governments</v>
      </c>
      <c r="B191" s="134" t="s">
        <v>192</v>
      </c>
      <c r="C191" s="134" t="s">
        <v>635</v>
      </c>
      <c r="D191" s="136">
        <v>98</v>
      </c>
      <c r="E191" s="134" t="s">
        <v>609</v>
      </c>
    </row>
    <row r="192" spans="1:5" x14ac:dyDescent="0.2">
      <c r="A192" s="134" t="str">
        <f t="shared" si="2"/>
        <v>Maryland - Total Local Government Units</v>
      </c>
      <c r="B192" s="134" t="s">
        <v>193</v>
      </c>
      <c r="C192" s="134" t="s">
        <v>628</v>
      </c>
      <c r="D192" s="136">
        <v>344</v>
      </c>
      <c r="E192" s="134" t="s">
        <v>609</v>
      </c>
    </row>
    <row r="193" spans="1:5" x14ac:dyDescent="0.2">
      <c r="A193" s="134" t="str">
        <f t="shared" si="2"/>
        <v>Maryland - Special Purpose Governments</v>
      </c>
      <c r="B193" s="134" t="s">
        <v>193</v>
      </c>
      <c r="C193" s="134" t="s">
        <v>629</v>
      </c>
      <c r="D193" s="136">
        <v>164</v>
      </c>
      <c r="E193" s="134" t="s">
        <v>609</v>
      </c>
    </row>
    <row r="194" spans="1:5" x14ac:dyDescent="0.2">
      <c r="A194" s="134" t="str">
        <f t="shared" si="2"/>
        <v>Maryland - General Purpose Governments</v>
      </c>
      <c r="B194" s="134" t="s">
        <v>193</v>
      </c>
      <c r="C194" s="134" t="s">
        <v>630</v>
      </c>
      <c r="D194" s="136">
        <v>180</v>
      </c>
      <c r="E194" s="134" t="s">
        <v>609</v>
      </c>
    </row>
    <row r="195" spans="1:5" x14ac:dyDescent="0.2">
      <c r="A195" s="134" t="str">
        <f t="shared" si="2"/>
        <v>Maryland - County Governments</v>
      </c>
      <c r="B195" s="134" t="s">
        <v>193</v>
      </c>
      <c r="C195" s="134" t="s">
        <v>165</v>
      </c>
      <c r="D195" s="136">
        <v>23</v>
      </c>
      <c r="E195" s="134" t="s">
        <v>609</v>
      </c>
    </row>
    <row r="196" spans="1:5" x14ac:dyDescent="0.2">
      <c r="A196" s="134" t="str">
        <f t="shared" ref="A196:A259" si="3">_xlfn.CONCAT(B196," - ",C196)</f>
        <v>Maryland - Subcounty Governments</v>
      </c>
      <c r="B196" s="134" t="s">
        <v>193</v>
      </c>
      <c r="C196" s="134" t="s">
        <v>631</v>
      </c>
      <c r="D196" s="136">
        <v>157</v>
      </c>
      <c r="E196" s="134" t="s">
        <v>609</v>
      </c>
    </row>
    <row r="197" spans="1:5" x14ac:dyDescent="0.2">
      <c r="A197" s="134" t="str">
        <f t="shared" si="3"/>
        <v>Maryland - Subcounty Governments - Municipal Governments</v>
      </c>
      <c r="B197" s="134" t="s">
        <v>193</v>
      </c>
      <c r="C197" s="134" t="s">
        <v>632</v>
      </c>
      <c r="D197" s="136">
        <v>157</v>
      </c>
      <c r="E197" s="134" t="s">
        <v>609</v>
      </c>
    </row>
    <row r="198" spans="1:5" x14ac:dyDescent="0.2">
      <c r="A198" s="134" t="str">
        <f t="shared" si="3"/>
        <v>Maryland - Subcounty Governments - Township Governments</v>
      </c>
      <c r="B198" s="134" t="s">
        <v>193</v>
      </c>
      <c r="C198" s="134" t="s">
        <v>633</v>
      </c>
      <c r="D198" s="136">
        <v>0</v>
      </c>
      <c r="E198" s="134" t="s">
        <v>609</v>
      </c>
    </row>
    <row r="199" spans="1:5" x14ac:dyDescent="0.2">
      <c r="A199" s="134" t="str">
        <f t="shared" si="3"/>
        <v>Maryland - Special Purpose Governments - Special District Governments</v>
      </c>
      <c r="B199" s="134" t="s">
        <v>193</v>
      </c>
      <c r="C199" s="134" t="s">
        <v>634</v>
      </c>
      <c r="D199" s="136">
        <v>164</v>
      </c>
      <c r="E199" s="134" t="s">
        <v>609</v>
      </c>
    </row>
    <row r="200" spans="1:5" x14ac:dyDescent="0.2">
      <c r="A200" s="134" t="str">
        <f t="shared" si="3"/>
        <v>Maryland - Special Purpose Governments - Independent School District Governments</v>
      </c>
      <c r="B200" s="134" t="s">
        <v>193</v>
      </c>
      <c r="C200" s="134" t="s">
        <v>635</v>
      </c>
      <c r="D200" s="136">
        <v>0</v>
      </c>
      <c r="E200" s="134" t="s">
        <v>609</v>
      </c>
    </row>
    <row r="201" spans="1:5" x14ac:dyDescent="0.2">
      <c r="A201" s="134" t="str">
        <f t="shared" si="3"/>
        <v>Massachusetts - Total Local Government Units</v>
      </c>
      <c r="B201" s="134" t="s">
        <v>194</v>
      </c>
      <c r="C201" s="134" t="s">
        <v>628</v>
      </c>
      <c r="D201" s="136">
        <v>858</v>
      </c>
      <c r="E201" s="134" t="s">
        <v>609</v>
      </c>
    </row>
    <row r="202" spans="1:5" x14ac:dyDescent="0.2">
      <c r="A202" s="134" t="str">
        <f t="shared" si="3"/>
        <v>Massachusetts - Special Purpose Governments</v>
      </c>
      <c r="B202" s="134" t="s">
        <v>194</v>
      </c>
      <c r="C202" s="134" t="s">
        <v>629</v>
      </c>
      <c r="D202" s="136">
        <v>502</v>
      </c>
      <c r="E202" s="134" t="s">
        <v>609</v>
      </c>
    </row>
    <row r="203" spans="1:5" x14ac:dyDescent="0.2">
      <c r="A203" s="134" t="str">
        <f t="shared" si="3"/>
        <v>Massachusetts - General Purpose Governments</v>
      </c>
      <c r="B203" s="134" t="s">
        <v>194</v>
      </c>
      <c r="C203" s="134" t="s">
        <v>630</v>
      </c>
      <c r="D203" s="136">
        <v>356</v>
      </c>
      <c r="E203" s="134" t="s">
        <v>609</v>
      </c>
    </row>
    <row r="204" spans="1:5" x14ac:dyDescent="0.2">
      <c r="A204" s="134" t="str">
        <f t="shared" si="3"/>
        <v>Massachusetts - County Governments</v>
      </c>
      <c r="B204" s="134" t="s">
        <v>194</v>
      </c>
      <c r="C204" s="134" t="s">
        <v>165</v>
      </c>
      <c r="D204" s="136">
        <v>5</v>
      </c>
      <c r="E204" s="134" t="s">
        <v>609</v>
      </c>
    </row>
    <row r="205" spans="1:5" x14ac:dyDescent="0.2">
      <c r="A205" s="134" t="str">
        <f t="shared" si="3"/>
        <v>Massachusetts - Subcounty Governments</v>
      </c>
      <c r="B205" s="134" t="s">
        <v>194</v>
      </c>
      <c r="C205" s="134" t="s">
        <v>631</v>
      </c>
      <c r="D205" s="136">
        <v>351</v>
      </c>
      <c r="E205" s="134" t="s">
        <v>609</v>
      </c>
    </row>
    <row r="206" spans="1:5" x14ac:dyDescent="0.2">
      <c r="A206" s="134" t="str">
        <f t="shared" si="3"/>
        <v>Massachusetts - Subcounty Governments - Municipal Governments</v>
      </c>
      <c r="B206" s="134" t="s">
        <v>194</v>
      </c>
      <c r="C206" s="134" t="s">
        <v>632</v>
      </c>
      <c r="D206" s="136">
        <v>53</v>
      </c>
      <c r="E206" s="134" t="s">
        <v>609</v>
      </c>
    </row>
    <row r="207" spans="1:5" x14ac:dyDescent="0.2">
      <c r="A207" s="134" t="str">
        <f t="shared" si="3"/>
        <v>Massachusetts - Subcounty Governments - Township Governments</v>
      </c>
      <c r="B207" s="134" t="s">
        <v>194</v>
      </c>
      <c r="C207" s="134" t="s">
        <v>633</v>
      </c>
      <c r="D207" s="136">
        <v>298</v>
      </c>
      <c r="E207" s="134" t="s">
        <v>609</v>
      </c>
    </row>
    <row r="208" spans="1:5" x14ac:dyDescent="0.2">
      <c r="A208" s="134" t="str">
        <f t="shared" si="3"/>
        <v>Massachusetts - Special Purpose Governments - Special District Governments</v>
      </c>
      <c r="B208" s="134" t="s">
        <v>194</v>
      </c>
      <c r="C208" s="134" t="s">
        <v>634</v>
      </c>
      <c r="D208" s="136">
        <v>417</v>
      </c>
      <c r="E208" s="134" t="s">
        <v>609</v>
      </c>
    </row>
    <row r="209" spans="1:5" x14ac:dyDescent="0.2">
      <c r="A209" s="134" t="str">
        <f t="shared" si="3"/>
        <v>Massachusetts - Special Purpose Governments - Independent School District Governments</v>
      </c>
      <c r="B209" s="134" t="s">
        <v>194</v>
      </c>
      <c r="C209" s="134" t="s">
        <v>635</v>
      </c>
      <c r="D209" s="136">
        <v>85</v>
      </c>
      <c r="E209" s="134" t="s">
        <v>609</v>
      </c>
    </row>
    <row r="210" spans="1:5" x14ac:dyDescent="0.2">
      <c r="A210" s="134" t="str">
        <f t="shared" si="3"/>
        <v>Michigan - Total Local Government Units</v>
      </c>
      <c r="B210" s="134" t="s">
        <v>195</v>
      </c>
      <c r="C210" s="134" t="s">
        <v>628</v>
      </c>
      <c r="D210" s="136">
        <v>2863</v>
      </c>
      <c r="E210" s="134" t="s">
        <v>609</v>
      </c>
    </row>
    <row r="211" spans="1:5" x14ac:dyDescent="0.2">
      <c r="A211" s="134" t="str">
        <f t="shared" si="3"/>
        <v>Michigan - Special Purpose Governments</v>
      </c>
      <c r="B211" s="134" t="s">
        <v>195</v>
      </c>
      <c r="C211" s="134" t="s">
        <v>629</v>
      </c>
      <c r="D211" s="136">
        <v>1007</v>
      </c>
      <c r="E211" s="134" t="s">
        <v>609</v>
      </c>
    </row>
    <row r="212" spans="1:5" x14ac:dyDescent="0.2">
      <c r="A212" s="134" t="str">
        <f t="shared" si="3"/>
        <v>Michigan - General Purpose Governments</v>
      </c>
      <c r="B212" s="134" t="s">
        <v>195</v>
      </c>
      <c r="C212" s="134" t="s">
        <v>630</v>
      </c>
      <c r="D212" s="136">
        <v>1856</v>
      </c>
      <c r="E212" s="134" t="s">
        <v>609</v>
      </c>
    </row>
    <row r="213" spans="1:5" x14ac:dyDescent="0.2">
      <c r="A213" s="134" t="str">
        <f t="shared" si="3"/>
        <v>Michigan - County Governments</v>
      </c>
      <c r="B213" s="134" t="s">
        <v>195</v>
      </c>
      <c r="C213" s="134" t="s">
        <v>165</v>
      </c>
      <c r="D213" s="136">
        <v>83</v>
      </c>
      <c r="E213" s="134" t="s">
        <v>609</v>
      </c>
    </row>
    <row r="214" spans="1:5" x14ac:dyDescent="0.2">
      <c r="A214" s="134" t="str">
        <f t="shared" si="3"/>
        <v>Michigan - Subcounty Governments</v>
      </c>
      <c r="B214" s="134" t="s">
        <v>195</v>
      </c>
      <c r="C214" s="134" t="s">
        <v>631</v>
      </c>
      <c r="D214" s="136">
        <v>1773</v>
      </c>
      <c r="E214" s="134" t="s">
        <v>609</v>
      </c>
    </row>
    <row r="215" spans="1:5" x14ac:dyDescent="0.2">
      <c r="A215" s="134" t="str">
        <f t="shared" si="3"/>
        <v>Michigan - Subcounty Governments - Municipal Governments</v>
      </c>
      <c r="B215" s="134" t="s">
        <v>195</v>
      </c>
      <c r="C215" s="134" t="s">
        <v>632</v>
      </c>
      <c r="D215" s="136">
        <v>533</v>
      </c>
      <c r="E215" s="134" t="s">
        <v>609</v>
      </c>
    </row>
    <row r="216" spans="1:5" x14ac:dyDescent="0.2">
      <c r="A216" s="134" t="str">
        <f t="shared" si="3"/>
        <v>Michigan - Subcounty Governments - Township Governments</v>
      </c>
      <c r="B216" s="134" t="s">
        <v>195</v>
      </c>
      <c r="C216" s="134" t="s">
        <v>633</v>
      </c>
      <c r="D216" s="136">
        <v>1240</v>
      </c>
      <c r="E216" s="134" t="s">
        <v>609</v>
      </c>
    </row>
    <row r="217" spans="1:5" x14ac:dyDescent="0.2">
      <c r="A217" s="134" t="str">
        <f t="shared" si="3"/>
        <v>Michigan - Special Purpose Governments - Special District Governments</v>
      </c>
      <c r="B217" s="134" t="s">
        <v>195</v>
      </c>
      <c r="C217" s="134" t="s">
        <v>634</v>
      </c>
      <c r="D217" s="136">
        <v>436</v>
      </c>
      <c r="E217" s="134" t="s">
        <v>609</v>
      </c>
    </row>
    <row r="218" spans="1:5" x14ac:dyDescent="0.2">
      <c r="A218" s="134" t="str">
        <f t="shared" si="3"/>
        <v>Michigan - Special Purpose Governments - Independent School District Governments</v>
      </c>
      <c r="B218" s="134" t="s">
        <v>195</v>
      </c>
      <c r="C218" s="134" t="s">
        <v>635</v>
      </c>
      <c r="D218" s="136">
        <v>571</v>
      </c>
      <c r="E218" s="134" t="s">
        <v>609</v>
      </c>
    </row>
    <row r="219" spans="1:5" x14ac:dyDescent="0.2">
      <c r="A219" s="134" t="str">
        <f t="shared" si="3"/>
        <v>Minnesota - Total Local Government Units</v>
      </c>
      <c r="B219" s="134" t="s">
        <v>196</v>
      </c>
      <c r="C219" s="134" t="s">
        <v>628</v>
      </c>
      <c r="D219" s="136">
        <v>3643</v>
      </c>
      <c r="E219" s="134" t="s">
        <v>609</v>
      </c>
    </row>
    <row r="220" spans="1:5" x14ac:dyDescent="0.2">
      <c r="A220" s="134" t="str">
        <f t="shared" si="3"/>
        <v>Minnesota - Special Purpose Governments</v>
      </c>
      <c r="B220" s="134" t="s">
        <v>196</v>
      </c>
      <c r="C220" s="134" t="s">
        <v>629</v>
      </c>
      <c r="D220" s="136">
        <v>923</v>
      </c>
      <c r="E220" s="134" t="s">
        <v>609</v>
      </c>
    </row>
    <row r="221" spans="1:5" x14ac:dyDescent="0.2">
      <c r="A221" s="134" t="str">
        <f t="shared" si="3"/>
        <v>Minnesota - General Purpose Governments</v>
      </c>
      <c r="B221" s="134" t="s">
        <v>196</v>
      </c>
      <c r="C221" s="134" t="s">
        <v>630</v>
      </c>
      <c r="D221" s="136">
        <v>2720</v>
      </c>
      <c r="E221" s="134" t="s">
        <v>609</v>
      </c>
    </row>
    <row r="222" spans="1:5" x14ac:dyDescent="0.2">
      <c r="A222" s="134" t="str">
        <f t="shared" si="3"/>
        <v>Minnesota - County Governments</v>
      </c>
      <c r="B222" s="134" t="s">
        <v>196</v>
      </c>
      <c r="C222" s="134" t="s">
        <v>165</v>
      </c>
      <c r="D222" s="136">
        <v>87</v>
      </c>
      <c r="E222" s="134" t="s">
        <v>609</v>
      </c>
    </row>
    <row r="223" spans="1:5" x14ac:dyDescent="0.2">
      <c r="A223" s="134" t="str">
        <f t="shared" si="3"/>
        <v>Minnesota - Subcounty Governments</v>
      </c>
      <c r="B223" s="134" t="s">
        <v>196</v>
      </c>
      <c r="C223" s="134" t="s">
        <v>631</v>
      </c>
      <c r="D223" s="136">
        <v>2633</v>
      </c>
      <c r="E223" s="134" t="s">
        <v>609</v>
      </c>
    </row>
    <row r="224" spans="1:5" x14ac:dyDescent="0.2">
      <c r="A224" s="134" t="str">
        <f t="shared" si="3"/>
        <v>Minnesota - Subcounty Governments - Municipal Governments</v>
      </c>
      <c r="B224" s="134" t="s">
        <v>196</v>
      </c>
      <c r="C224" s="134" t="s">
        <v>632</v>
      </c>
      <c r="D224" s="136">
        <v>853</v>
      </c>
      <c r="E224" s="134" t="s">
        <v>609</v>
      </c>
    </row>
    <row r="225" spans="1:5" x14ac:dyDescent="0.2">
      <c r="A225" s="134" t="str">
        <f t="shared" si="3"/>
        <v>Minnesota - Subcounty Governments - Township Governments</v>
      </c>
      <c r="B225" s="134" t="s">
        <v>196</v>
      </c>
      <c r="C225" s="134" t="s">
        <v>633</v>
      </c>
      <c r="D225" s="136">
        <v>1780</v>
      </c>
      <c r="E225" s="134" t="s">
        <v>609</v>
      </c>
    </row>
    <row r="226" spans="1:5" x14ac:dyDescent="0.2">
      <c r="A226" s="134" t="str">
        <f t="shared" si="3"/>
        <v>Minnesota - Special Purpose Governments - Special District Governments</v>
      </c>
      <c r="B226" s="134" t="s">
        <v>196</v>
      </c>
      <c r="C226" s="134" t="s">
        <v>634</v>
      </c>
      <c r="D226" s="136">
        <v>590</v>
      </c>
      <c r="E226" s="134" t="s">
        <v>609</v>
      </c>
    </row>
    <row r="227" spans="1:5" x14ac:dyDescent="0.2">
      <c r="A227" s="134" t="str">
        <f t="shared" si="3"/>
        <v>Minnesota - Special Purpose Governments - Independent School District Governments</v>
      </c>
      <c r="B227" s="134" t="s">
        <v>196</v>
      </c>
      <c r="C227" s="134" t="s">
        <v>635</v>
      </c>
      <c r="D227" s="136">
        <v>333</v>
      </c>
      <c r="E227" s="134" t="s">
        <v>609</v>
      </c>
    </row>
    <row r="228" spans="1:5" x14ac:dyDescent="0.2">
      <c r="A228" s="134" t="str">
        <f t="shared" si="3"/>
        <v>Mississippi - Total Local Government Units</v>
      </c>
      <c r="B228" s="134" t="s">
        <v>197</v>
      </c>
      <c r="C228" s="134" t="s">
        <v>628</v>
      </c>
      <c r="D228" s="136">
        <v>969</v>
      </c>
      <c r="E228" s="134" t="s">
        <v>609</v>
      </c>
    </row>
    <row r="229" spans="1:5" x14ac:dyDescent="0.2">
      <c r="A229" s="134" t="str">
        <f t="shared" si="3"/>
        <v>Mississippi - Special Purpose Governments</v>
      </c>
      <c r="B229" s="134" t="s">
        <v>197</v>
      </c>
      <c r="C229" s="134" t="s">
        <v>629</v>
      </c>
      <c r="D229" s="136">
        <v>589</v>
      </c>
      <c r="E229" s="134" t="s">
        <v>609</v>
      </c>
    </row>
    <row r="230" spans="1:5" x14ac:dyDescent="0.2">
      <c r="A230" s="134" t="str">
        <f t="shared" si="3"/>
        <v>Mississippi - General Purpose Governments</v>
      </c>
      <c r="B230" s="134" t="s">
        <v>197</v>
      </c>
      <c r="C230" s="134" t="s">
        <v>630</v>
      </c>
      <c r="D230" s="136">
        <v>380</v>
      </c>
      <c r="E230" s="134" t="s">
        <v>609</v>
      </c>
    </row>
    <row r="231" spans="1:5" x14ac:dyDescent="0.2">
      <c r="A231" s="134" t="str">
        <f t="shared" si="3"/>
        <v>Mississippi - County Governments</v>
      </c>
      <c r="B231" s="134" t="s">
        <v>197</v>
      </c>
      <c r="C231" s="134" t="s">
        <v>165</v>
      </c>
      <c r="D231" s="136">
        <v>82</v>
      </c>
      <c r="E231" s="134" t="s">
        <v>609</v>
      </c>
    </row>
    <row r="232" spans="1:5" x14ac:dyDescent="0.2">
      <c r="A232" s="134" t="str">
        <f t="shared" si="3"/>
        <v>Mississippi - Subcounty Governments</v>
      </c>
      <c r="B232" s="134" t="s">
        <v>197</v>
      </c>
      <c r="C232" s="134" t="s">
        <v>631</v>
      </c>
      <c r="D232" s="136">
        <v>298</v>
      </c>
      <c r="E232" s="134" t="s">
        <v>609</v>
      </c>
    </row>
    <row r="233" spans="1:5" x14ac:dyDescent="0.2">
      <c r="A233" s="134" t="str">
        <f t="shared" si="3"/>
        <v>Mississippi - Subcounty Governments - Municipal Governments</v>
      </c>
      <c r="B233" s="134" t="s">
        <v>197</v>
      </c>
      <c r="C233" s="134" t="s">
        <v>632</v>
      </c>
      <c r="D233" s="136">
        <v>298</v>
      </c>
      <c r="E233" s="134" t="s">
        <v>609</v>
      </c>
    </row>
    <row r="234" spans="1:5" x14ac:dyDescent="0.2">
      <c r="A234" s="134" t="str">
        <f t="shared" si="3"/>
        <v>Mississippi - Subcounty Governments - Township Governments</v>
      </c>
      <c r="B234" s="134" t="s">
        <v>197</v>
      </c>
      <c r="C234" s="134" t="s">
        <v>633</v>
      </c>
      <c r="D234" s="136">
        <v>0</v>
      </c>
      <c r="E234" s="134" t="s">
        <v>609</v>
      </c>
    </row>
    <row r="235" spans="1:5" x14ac:dyDescent="0.2">
      <c r="A235" s="134" t="str">
        <f t="shared" si="3"/>
        <v>Mississippi - Special Purpose Governments - Special District Governments</v>
      </c>
      <c r="B235" s="134" t="s">
        <v>197</v>
      </c>
      <c r="C235" s="134" t="s">
        <v>634</v>
      </c>
      <c r="D235" s="136">
        <v>432</v>
      </c>
      <c r="E235" s="134" t="s">
        <v>609</v>
      </c>
    </row>
    <row r="236" spans="1:5" x14ac:dyDescent="0.2">
      <c r="A236" s="134" t="str">
        <f t="shared" si="3"/>
        <v>Mississippi - Special Purpose Governments - Independent School District Governments</v>
      </c>
      <c r="B236" s="134" t="s">
        <v>197</v>
      </c>
      <c r="C236" s="134" t="s">
        <v>635</v>
      </c>
      <c r="D236" s="136">
        <v>157</v>
      </c>
      <c r="E236" s="134" t="s">
        <v>609</v>
      </c>
    </row>
    <row r="237" spans="1:5" x14ac:dyDescent="0.2">
      <c r="A237" s="134" t="str">
        <f t="shared" si="3"/>
        <v>Missouri - Total Local Government Units</v>
      </c>
      <c r="B237" s="134" t="s">
        <v>198</v>
      </c>
      <c r="C237" s="134" t="s">
        <v>628</v>
      </c>
      <c r="D237" s="136">
        <v>3768</v>
      </c>
      <c r="E237" s="134" t="s">
        <v>609</v>
      </c>
    </row>
    <row r="238" spans="1:5" x14ac:dyDescent="0.2">
      <c r="A238" s="134" t="str">
        <f t="shared" si="3"/>
        <v>Missouri - Special Purpose Governments</v>
      </c>
      <c r="B238" s="134" t="s">
        <v>198</v>
      </c>
      <c r="C238" s="134" t="s">
        <v>629</v>
      </c>
      <c r="D238" s="136">
        <v>2427</v>
      </c>
      <c r="E238" s="134" t="s">
        <v>609</v>
      </c>
    </row>
    <row r="239" spans="1:5" x14ac:dyDescent="0.2">
      <c r="A239" s="134" t="str">
        <f t="shared" si="3"/>
        <v>Missouri - General Purpose Governments</v>
      </c>
      <c r="B239" s="134" t="s">
        <v>198</v>
      </c>
      <c r="C239" s="134" t="s">
        <v>630</v>
      </c>
      <c r="D239" s="136">
        <v>1341</v>
      </c>
      <c r="E239" s="134" t="s">
        <v>609</v>
      </c>
    </row>
    <row r="240" spans="1:5" x14ac:dyDescent="0.2">
      <c r="A240" s="134" t="str">
        <f t="shared" si="3"/>
        <v>Missouri - County Governments</v>
      </c>
      <c r="B240" s="134" t="s">
        <v>198</v>
      </c>
      <c r="C240" s="134" t="s">
        <v>165</v>
      </c>
      <c r="D240" s="136">
        <v>114</v>
      </c>
      <c r="E240" s="134" t="s">
        <v>609</v>
      </c>
    </row>
    <row r="241" spans="1:5" x14ac:dyDescent="0.2">
      <c r="A241" s="134" t="str">
        <f t="shared" si="3"/>
        <v>Missouri - Subcounty Governments</v>
      </c>
      <c r="B241" s="134" t="s">
        <v>198</v>
      </c>
      <c r="C241" s="134" t="s">
        <v>631</v>
      </c>
      <c r="D241" s="136">
        <v>1227</v>
      </c>
      <c r="E241" s="134" t="s">
        <v>609</v>
      </c>
    </row>
    <row r="242" spans="1:5" x14ac:dyDescent="0.2">
      <c r="A242" s="134" t="str">
        <f t="shared" si="3"/>
        <v>Missouri - Subcounty Governments - Municipal Governments</v>
      </c>
      <c r="B242" s="134" t="s">
        <v>198</v>
      </c>
      <c r="C242" s="134" t="s">
        <v>632</v>
      </c>
      <c r="D242" s="136">
        <v>944</v>
      </c>
      <c r="E242" s="134" t="s">
        <v>609</v>
      </c>
    </row>
    <row r="243" spans="1:5" x14ac:dyDescent="0.2">
      <c r="A243" s="134" t="str">
        <f t="shared" si="3"/>
        <v>Missouri - Subcounty Governments - Township Governments</v>
      </c>
      <c r="B243" s="134" t="s">
        <v>198</v>
      </c>
      <c r="C243" s="134" t="s">
        <v>633</v>
      </c>
      <c r="D243" s="136">
        <v>283</v>
      </c>
      <c r="E243" s="134" t="s">
        <v>609</v>
      </c>
    </row>
    <row r="244" spans="1:5" x14ac:dyDescent="0.2">
      <c r="A244" s="134" t="str">
        <f t="shared" si="3"/>
        <v>Missouri - Special Purpose Governments - Special District Governments</v>
      </c>
      <c r="B244" s="134" t="s">
        <v>198</v>
      </c>
      <c r="C244" s="134" t="s">
        <v>634</v>
      </c>
      <c r="D244" s="136">
        <v>1897</v>
      </c>
      <c r="E244" s="134" t="s">
        <v>609</v>
      </c>
    </row>
    <row r="245" spans="1:5" x14ac:dyDescent="0.2">
      <c r="A245" s="134" t="str">
        <f t="shared" si="3"/>
        <v>Missouri - Special Purpose Governments - Independent School District Governments</v>
      </c>
      <c r="B245" s="134" t="s">
        <v>198</v>
      </c>
      <c r="C245" s="134" t="s">
        <v>635</v>
      </c>
      <c r="D245" s="136">
        <v>530</v>
      </c>
      <c r="E245" s="134" t="s">
        <v>609</v>
      </c>
    </row>
    <row r="246" spans="1:5" x14ac:dyDescent="0.2">
      <c r="A246" s="134" t="str">
        <f t="shared" si="3"/>
        <v>Montana - Total Local Government Units</v>
      </c>
      <c r="B246" s="134" t="s">
        <v>199</v>
      </c>
      <c r="C246" s="134" t="s">
        <v>628</v>
      </c>
      <c r="D246" s="136">
        <v>1226</v>
      </c>
      <c r="E246" s="134" t="s">
        <v>609</v>
      </c>
    </row>
    <row r="247" spans="1:5" x14ac:dyDescent="0.2">
      <c r="A247" s="134" t="str">
        <f t="shared" si="3"/>
        <v>Montana - Special Purpose Governments</v>
      </c>
      <c r="B247" s="134" t="s">
        <v>199</v>
      </c>
      <c r="C247" s="134" t="s">
        <v>629</v>
      </c>
      <c r="D247" s="136">
        <v>1043</v>
      </c>
      <c r="E247" s="134" t="s">
        <v>609</v>
      </c>
    </row>
    <row r="248" spans="1:5" x14ac:dyDescent="0.2">
      <c r="A248" s="134" t="str">
        <f t="shared" si="3"/>
        <v>Montana - General Purpose Governments</v>
      </c>
      <c r="B248" s="134" t="s">
        <v>199</v>
      </c>
      <c r="C248" s="134" t="s">
        <v>630</v>
      </c>
      <c r="D248" s="136">
        <v>183</v>
      </c>
      <c r="E248" s="134" t="s">
        <v>609</v>
      </c>
    </row>
    <row r="249" spans="1:5" x14ac:dyDescent="0.2">
      <c r="A249" s="134" t="str">
        <f t="shared" si="3"/>
        <v>Montana - County Governments</v>
      </c>
      <c r="B249" s="134" t="s">
        <v>199</v>
      </c>
      <c r="C249" s="134" t="s">
        <v>165</v>
      </c>
      <c r="D249" s="136">
        <v>54</v>
      </c>
      <c r="E249" s="134" t="s">
        <v>609</v>
      </c>
    </row>
    <row r="250" spans="1:5" x14ac:dyDescent="0.2">
      <c r="A250" s="134" t="str">
        <f t="shared" si="3"/>
        <v>Montana - Subcounty Governments</v>
      </c>
      <c r="B250" s="134" t="s">
        <v>199</v>
      </c>
      <c r="C250" s="134" t="s">
        <v>631</v>
      </c>
      <c r="D250" s="136">
        <v>129</v>
      </c>
      <c r="E250" s="134" t="s">
        <v>609</v>
      </c>
    </row>
    <row r="251" spans="1:5" x14ac:dyDescent="0.2">
      <c r="A251" s="134" t="str">
        <f t="shared" si="3"/>
        <v>Montana - Subcounty Governments - Municipal Governments</v>
      </c>
      <c r="B251" s="134" t="s">
        <v>199</v>
      </c>
      <c r="C251" s="134" t="s">
        <v>632</v>
      </c>
      <c r="D251" s="136">
        <v>129</v>
      </c>
      <c r="E251" s="134" t="s">
        <v>609</v>
      </c>
    </row>
    <row r="252" spans="1:5" x14ac:dyDescent="0.2">
      <c r="A252" s="134" t="str">
        <f t="shared" si="3"/>
        <v>Montana - Subcounty Governments - Township Governments</v>
      </c>
      <c r="B252" s="134" t="s">
        <v>199</v>
      </c>
      <c r="C252" s="134" t="s">
        <v>633</v>
      </c>
      <c r="D252" s="136">
        <v>0</v>
      </c>
      <c r="E252" s="134" t="s">
        <v>609</v>
      </c>
    </row>
    <row r="253" spans="1:5" x14ac:dyDescent="0.2">
      <c r="A253" s="134" t="str">
        <f t="shared" si="3"/>
        <v>Montana - Special Purpose Governments - Special District Governments</v>
      </c>
      <c r="B253" s="134" t="s">
        <v>199</v>
      </c>
      <c r="C253" s="134" t="s">
        <v>634</v>
      </c>
      <c r="D253" s="136">
        <v>730</v>
      </c>
      <c r="E253" s="134" t="s">
        <v>609</v>
      </c>
    </row>
    <row r="254" spans="1:5" x14ac:dyDescent="0.2">
      <c r="A254" s="134" t="str">
        <f t="shared" si="3"/>
        <v>Montana - Special Purpose Governments - Independent School District Governments</v>
      </c>
      <c r="B254" s="134" t="s">
        <v>199</v>
      </c>
      <c r="C254" s="134" t="s">
        <v>635</v>
      </c>
      <c r="D254" s="136">
        <v>313</v>
      </c>
      <c r="E254" s="134" t="s">
        <v>609</v>
      </c>
    </row>
    <row r="255" spans="1:5" x14ac:dyDescent="0.2">
      <c r="A255" s="134" t="str">
        <f t="shared" si="3"/>
        <v>Nebraska - Total Local Government Units</v>
      </c>
      <c r="B255" s="134" t="s">
        <v>200</v>
      </c>
      <c r="C255" s="134" t="s">
        <v>628</v>
      </c>
      <c r="D255" s="136">
        <v>2538</v>
      </c>
      <c r="E255" s="134" t="s">
        <v>609</v>
      </c>
    </row>
    <row r="256" spans="1:5" x14ac:dyDescent="0.2">
      <c r="A256" s="134" t="str">
        <f t="shared" si="3"/>
        <v>Nebraska - Special Purpose Governments</v>
      </c>
      <c r="B256" s="134" t="s">
        <v>200</v>
      </c>
      <c r="C256" s="134" t="s">
        <v>629</v>
      </c>
      <c r="D256" s="136">
        <v>1550</v>
      </c>
      <c r="E256" s="134" t="s">
        <v>609</v>
      </c>
    </row>
    <row r="257" spans="1:5" x14ac:dyDescent="0.2">
      <c r="A257" s="134" t="str">
        <f t="shared" si="3"/>
        <v>Nebraska - General Purpose Governments</v>
      </c>
      <c r="B257" s="134" t="s">
        <v>200</v>
      </c>
      <c r="C257" s="134" t="s">
        <v>630</v>
      </c>
      <c r="D257" s="136">
        <v>988</v>
      </c>
      <c r="E257" s="134" t="s">
        <v>609</v>
      </c>
    </row>
    <row r="258" spans="1:5" x14ac:dyDescent="0.2">
      <c r="A258" s="134" t="str">
        <f t="shared" si="3"/>
        <v>Nebraska - County Governments</v>
      </c>
      <c r="B258" s="134" t="s">
        <v>200</v>
      </c>
      <c r="C258" s="134" t="s">
        <v>165</v>
      </c>
      <c r="D258" s="136">
        <v>93</v>
      </c>
      <c r="E258" s="134" t="s">
        <v>609</v>
      </c>
    </row>
    <row r="259" spans="1:5" x14ac:dyDescent="0.2">
      <c r="A259" s="134" t="str">
        <f t="shared" si="3"/>
        <v>Nebraska - Subcounty Governments</v>
      </c>
      <c r="B259" s="134" t="s">
        <v>200</v>
      </c>
      <c r="C259" s="134" t="s">
        <v>631</v>
      </c>
      <c r="D259" s="136">
        <v>895</v>
      </c>
      <c r="E259" s="134" t="s">
        <v>609</v>
      </c>
    </row>
    <row r="260" spans="1:5" x14ac:dyDescent="0.2">
      <c r="A260" s="134" t="str">
        <f t="shared" ref="A260:A323" si="4">_xlfn.CONCAT(B260," - ",C260)</f>
        <v>Nebraska - Subcounty Governments - Municipal Governments</v>
      </c>
      <c r="B260" s="134" t="s">
        <v>200</v>
      </c>
      <c r="C260" s="134" t="s">
        <v>632</v>
      </c>
      <c r="D260" s="136">
        <v>529</v>
      </c>
      <c r="E260" s="134" t="s">
        <v>609</v>
      </c>
    </row>
    <row r="261" spans="1:5" x14ac:dyDescent="0.2">
      <c r="A261" s="134" t="str">
        <f t="shared" si="4"/>
        <v>Nebraska - Subcounty Governments - Township Governments</v>
      </c>
      <c r="B261" s="134" t="s">
        <v>200</v>
      </c>
      <c r="C261" s="134" t="s">
        <v>633</v>
      </c>
      <c r="D261" s="136">
        <v>366</v>
      </c>
      <c r="E261" s="134" t="s">
        <v>609</v>
      </c>
    </row>
    <row r="262" spans="1:5" x14ac:dyDescent="0.2">
      <c r="A262" s="134" t="str">
        <f t="shared" si="4"/>
        <v>Nebraska - Special Purpose Governments - Special District Governments</v>
      </c>
      <c r="B262" s="134" t="s">
        <v>200</v>
      </c>
      <c r="C262" s="134" t="s">
        <v>634</v>
      </c>
      <c r="D262" s="136">
        <v>1281</v>
      </c>
      <c r="E262" s="134" t="s">
        <v>609</v>
      </c>
    </row>
    <row r="263" spans="1:5" x14ac:dyDescent="0.2">
      <c r="A263" s="134" t="str">
        <f t="shared" si="4"/>
        <v>Nebraska - Special Purpose Governments - Independent School District Governments</v>
      </c>
      <c r="B263" s="134" t="s">
        <v>200</v>
      </c>
      <c r="C263" s="134" t="s">
        <v>635</v>
      </c>
      <c r="D263" s="136">
        <v>269</v>
      </c>
      <c r="E263" s="134" t="s">
        <v>609</v>
      </c>
    </row>
    <row r="264" spans="1:5" x14ac:dyDescent="0.2">
      <c r="A264" s="134" t="str">
        <f t="shared" si="4"/>
        <v>Nevada - Total Local Government Units</v>
      </c>
      <c r="B264" s="134" t="s">
        <v>201</v>
      </c>
      <c r="C264" s="134" t="s">
        <v>628</v>
      </c>
      <c r="D264" s="136">
        <v>189</v>
      </c>
      <c r="E264" s="134" t="s">
        <v>609</v>
      </c>
    </row>
    <row r="265" spans="1:5" x14ac:dyDescent="0.2">
      <c r="A265" s="134" t="str">
        <f t="shared" si="4"/>
        <v>Nevada - Special Purpose Governments</v>
      </c>
      <c r="B265" s="134" t="s">
        <v>201</v>
      </c>
      <c r="C265" s="134" t="s">
        <v>629</v>
      </c>
      <c r="D265" s="136">
        <v>154</v>
      </c>
      <c r="E265" s="134" t="s">
        <v>609</v>
      </c>
    </row>
    <row r="266" spans="1:5" x14ac:dyDescent="0.2">
      <c r="A266" s="134" t="str">
        <f t="shared" si="4"/>
        <v>Nevada - General Purpose Governments</v>
      </c>
      <c r="B266" s="134" t="s">
        <v>201</v>
      </c>
      <c r="C266" s="134" t="s">
        <v>630</v>
      </c>
      <c r="D266" s="136">
        <v>35</v>
      </c>
      <c r="E266" s="134" t="s">
        <v>609</v>
      </c>
    </row>
    <row r="267" spans="1:5" x14ac:dyDescent="0.2">
      <c r="A267" s="134" t="str">
        <f t="shared" si="4"/>
        <v>Nevada - County Governments</v>
      </c>
      <c r="B267" s="134" t="s">
        <v>201</v>
      </c>
      <c r="C267" s="134" t="s">
        <v>165</v>
      </c>
      <c r="D267" s="136">
        <v>16</v>
      </c>
      <c r="E267" s="134" t="s">
        <v>609</v>
      </c>
    </row>
    <row r="268" spans="1:5" x14ac:dyDescent="0.2">
      <c r="A268" s="134" t="str">
        <f t="shared" si="4"/>
        <v>Nevada - Subcounty Governments</v>
      </c>
      <c r="B268" s="134" t="s">
        <v>201</v>
      </c>
      <c r="C268" s="134" t="s">
        <v>631</v>
      </c>
      <c r="D268" s="136">
        <v>19</v>
      </c>
      <c r="E268" s="134" t="s">
        <v>609</v>
      </c>
    </row>
    <row r="269" spans="1:5" x14ac:dyDescent="0.2">
      <c r="A269" s="134" t="str">
        <f t="shared" si="4"/>
        <v>Nevada - Subcounty Governments - Municipal Governments</v>
      </c>
      <c r="B269" s="134" t="s">
        <v>201</v>
      </c>
      <c r="C269" s="134" t="s">
        <v>632</v>
      </c>
      <c r="D269" s="136">
        <v>19</v>
      </c>
      <c r="E269" s="134" t="s">
        <v>609</v>
      </c>
    </row>
    <row r="270" spans="1:5" x14ac:dyDescent="0.2">
      <c r="A270" s="134" t="str">
        <f t="shared" si="4"/>
        <v>Nevada - Subcounty Governments - Township Governments</v>
      </c>
      <c r="B270" s="134" t="s">
        <v>201</v>
      </c>
      <c r="C270" s="134" t="s">
        <v>633</v>
      </c>
      <c r="D270" s="136">
        <v>0</v>
      </c>
      <c r="E270" s="134" t="s">
        <v>609</v>
      </c>
    </row>
    <row r="271" spans="1:5" x14ac:dyDescent="0.2">
      <c r="A271" s="134" t="str">
        <f t="shared" si="4"/>
        <v>Nevada - Special Purpose Governments - Special District Governments</v>
      </c>
      <c r="B271" s="134" t="s">
        <v>201</v>
      </c>
      <c r="C271" s="134" t="s">
        <v>634</v>
      </c>
      <c r="D271" s="136">
        <v>137</v>
      </c>
      <c r="E271" s="134" t="s">
        <v>609</v>
      </c>
    </row>
    <row r="272" spans="1:5" x14ac:dyDescent="0.2">
      <c r="A272" s="134" t="str">
        <f t="shared" si="4"/>
        <v>Nevada - Special Purpose Governments - Independent School District Governments</v>
      </c>
      <c r="B272" s="134" t="s">
        <v>201</v>
      </c>
      <c r="C272" s="134" t="s">
        <v>635</v>
      </c>
      <c r="D272" s="136">
        <v>17</v>
      </c>
      <c r="E272" s="134" t="s">
        <v>609</v>
      </c>
    </row>
    <row r="273" spans="1:5" x14ac:dyDescent="0.2">
      <c r="A273" s="134" t="str">
        <f t="shared" si="4"/>
        <v>New Hampshire - Total Local Government Units</v>
      </c>
      <c r="B273" s="134" t="s">
        <v>202</v>
      </c>
      <c r="C273" s="134" t="s">
        <v>628</v>
      </c>
      <c r="D273" s="136">
        <v>541</v>
      </c>
      <c r="E273" s="134" t="s">
        <v>609</v>
      </c>
    </row>
    <row r="274" spans="1:5" x14ac:dyDescent="0.2">
      <c r="A274" s="134" t="str">
        <f t="shared" si="4"/>
        <v>New Hampshire - Special Purpose Governments</v>
      </c>
      <c r="B274" s="134" t="s">
        <v>202</v>
      </c>
      <c r="C274" s="134" t="s">
        <v>629</v>
      </c>
      <c r="D274" s="136">
        <v>297</v>
      </c>
      <c r="E274" s="134" t="s">
        <v>609</v>
      </c>
    </row>
    <row r="275" spans="1:5" x14ac:dyDescent="0.2">
      <c r="A275" s="134" t="str">
        <f t="shared" si="4"/>
        <v>New Hampshire - General Purpose Governments</v>
      </c>
      <c r="B275" s="134" t="s">
        <v>202</v>
      </c>
      <c r="C275" s="134" t="s">
        <v>630</v>
      </c>
      <c r="D275" s="136">
        <v>244</v>
      </c>
      <c r="E275" s="134" t="s">
        <v>609</v>
      </c>
    </row>
    <row r="276" spans="1:5" x14ac:dyDescent="0.2">
      <c r="A276" s="134" t="str">
        <f t="shared" si="4"/>
        <v>New Hampshire - County Governments</v>
      </c>
      <c r="B276" s="134" t="s">
        <v>202</v>
      </c>
      <c r="C276" s="134" t="s">
        <v>165</v>
      </c>
      <c r="D276" s="136">
        <v>10</v>
      </c>
      <c r="E276" s="134" t="s">
        <v>609</v>
      </c>
    </row>
    <row r="277" spans="1:5" x14ac:dyDescent="0.2">
      <c r="A277" s="134" t="str">
        <f t="shared" si="4"/>
        <v>New Hampshire - Subcounty Governments</v>
      </c>
      <c r="B277" s="134" t="s">
        <v>202</v>
      </c>
      <c r="C277" s="134" t="s">
        <v>631</v>
      </c>
      <c r="D277" s="136">
        <v>234</v>
      </c>
      <c r="E277" s="134" t="s">
        <v>609</v>
      </c>
    </row>
    <row r="278" spans="1:5" x14ac:dyDescent="0.2">
      <c r="A278" s="134" t="str">
        <f t="shared" si="4"/>
        <v>New Hampshire - Subcounty Governments - Municipal Governments</v>
      </c>
      <c r="B278" s="134" t="s">
        <v>202</v>
      </c>
      <c r="C278" s="134" t="s">
        <v>632</v>
      </c>
      <c r="D278" s="136">
        <v>13</v>
      </c>
      <c r="E278" s="134" t="s">
        <v>609</v>
      </c>
    </row>
    <row r="279" spans="1:5" x14ac:dyDescent="0.2">
      <c r="A279" s="134" t="str">
        <f t="shared" si="4"/>
        <v>New Hampshire - Subcounty Governments - Township Governments</v>
      </c>
      <c r="B279" s="134" t="s">
        <v>202</v>
      </c>
      <c r="C279" s="134" t="s">
        <v>633</v>
      </c>
      <c r="D279" s="136">
        <v>221</v>
      </c>
      <c r="E279" s="134" t="s">
        <v>609</v>
      </c>
    </row>
    <row r="280" spans="1:5" x14ac:dyDescent="0.2">
      <c r="A280" s="134" t="str">
        <f t="shared" si="4"/>
        <v>New Hampshire - Special Purpose Governments - Special District Governments</v>
      </c>
      <c r="B280" s="134" t="s">
        <v>202</v>
      </c>
      <c r="C280" s="134" t="s">
        <v>634</v>
      </c>
      <c r="D280" s="136">
        <v>129</v>
      </c>
      <c r="E280" s="134" t="s">
        <v>609</v>
      </c>
    </row>
    <row r="281" spans="1:5" x14ac:dyDescent="0.2">
      <c r="A281" s="134" t="str">
        <f t="shared" si="4"/>
        <v>New Hampshire - Special Purpose Governments - Independent School District Governments</v>
      </c>
      <c r="B281" s="134" t="s">
        <v>202</v>
      </c>
      <c r="C281" s="134" t="s">
        <v>635</v>
      </c>
      <c r="D281" s="136">
        <v>168</v>
      </c>
      <c r="E281" s="134" t="s">
        <v>609</v>
      </c>
    </row>
    <row r="282" spans="1:5" x14ac:dyDescent="0.2">
      <c r="A282" s="134" t="str">
        <f t="shared" si="4"/>
        <v>New Jersey - Total Local Government Units</v>
      </c>
      <c r="B282" s="134" t="s">
        <v>203</v>
      </c>
      <c r="C282" s="134" t="s">
        <v>628</v>
      </c>
      <c r="D282" s="136">
        <v>1338</v>
      </c>
      <c r="E282" s="134" t="s">
        <v>609</v>
      </c>
    </row>
    <row r="283" spans="1:5" x14ac:dyDescent="0.2">
      <c r="A283" s="134" t="str">
        <f t="shared" si="4"/>
        <v>New Jersey - Special Purpose Governments</v>
      </c>
      <c r="B283" s="134" t="s">
        <v>203</v>
      </c>
      <c r="C283" s="134" t="s">
        <v>629</v>
      </c>
      <c r="D283" s="136">
        <v>752</v>
      </c>
      <c r="E283" s="134" t="s">
        <v>609</v>
      </c>
    </row>
    <row r="284" spans="1:5" x14ac:dyDescent="0.2">
      <c r="A284" s="134" t="str">
        <f t="shared" si="4"/>
        <v>New Jersey - General Purpose Governments</v>
      </c>
      <c r="B284" s="134" t="s">
        <v>203</v>
      </c>
      <c r="C284" s="134" t="s">
        <v>630</v>
      </c>
      <c r="D284" s="136">
        <v>586</v>
      </c>
      <c r="E284" s="134" t="s">
        <v>609</v>
      </c>
    </row>
    <row r="285" spans="1:5" x14ac:dyDescent="0.2">
      <c r="A285" s="134" t="str">
        <f t="shared" si="4"/>
        <v>New Jersey - County Governments</v>
      </c>
      <c r="B285" s="134" t="s">
        <v>203</v>
      </c>
      <c r="C285" s="134" t="s">
        <v>165</v>
      </c>
      <c r="D285" s="136">
        <v>21</v>
      </c>
      <c r="E285" s="134" t="s">
        <v>609</v>
      </c>
    </row>
    <row r="286" spans="1:5" x14ac:dyDescent="0.2">
      <c r="A286" s="134" t="str">
        <f t="shared" si="4"/>
        <v>New Jersey - Subcounty Governments</v>
      </c>
      <c r="B286" s="134" t="s">
        <v>203</v>
      </c>
      <c r="C286" s="134" t="s">
        <v>631</v>
      </c>
      <c r="D286" s="136">
        <v>565</v>
      </c>
      <c r="E286" s="134" t="s">
        <v>609</v>
      </c>
    </row>
    <row r="287" spans="1:5" x14ac:dyDescent="0.2">
      <c r="A287" s="134" t="str">
        <f t="shared" si="4"/>
        <v>New Jersey - Subcounty Governments - Municipal Governments</v>
      </c>
      <c r="B287" s="134" t="s">
        <v>203</v>
      </c>
      <c r="C287" s="134" t="s">
        <v>632</v>
      </c>
      <c r="D287" s="136">
        <v>324</v>
      </c>
      <c r="E287" s="134" t="s">
        <v>609</v>
      </c>
    </row>
    <row r="288" spans="1:5" x14ac:dyDescent="0.2">
      <c r="A288" s="134" t="str">
        <f t="shared" si="4"/>
        <v>New Jersey - Subcounty Governments - Township Governments</v>
      </c>
      <c r="B288" s="134" t="s">
        <v>203</v>
      </c>
      <c r="C288" s="134" t="s">
        <v>633</v>
      </c>
      <c r="D288" s="136">
        <v>241</v>
      </c>
      <c r="E288" s="134" t="s">
        <v>609</v>
      </c>
    </row>
    <row r="289" spans="1:5" x14ac:dyDescent="0.2">
      <c r="A289" s="134" t="str">
        <f t="shared" si="4"/>
        <v>New Jersey - Special Purpose Governments - Special District Governments</v>
      </c>
      <c r="B289" s="134" t="s">
        <v>203</v>
      </c>
      <c r="C289" s="134" t="s">
        <v>634</v>
      </c>
      <c r="D289" s="136">
        <v>233</v>
      </c>
      <c r="E289" s="134" t="s">
        <v>609</v>
      </c>
    </row>
    <row r="290" spans="1:5" x14ac:dyDescent="0.2">
      <c r="A290" s="134" t="str">
        <f t="shared" si="4"/>
        <v>New Jersey - Special Purpose Governments - Independent School District Governments</v>
      </c>
      <c r="B290" s="134" t="s">
        <v>203</v>
      </c>
      <c r="C290" s="134" t="s">
        <v>635</v>
      </c>
      <c r="D290" s="136">
        <v>519</v>
      </c>
      <c r="E290" s="134" t="s">
        <v>609</v>
      </c>
    </row>
    <row r="291" spans="1:5" x14ac:dyDescent="0.2">
      <c r="A291" s="134" t="str">
        <f t="shared" si="4"/>
        <v>New Mexico - Total Local Government Units</v>
      </c>
      <c r="B291" s="134" t="s">
        <v>204</v>
      </c>
      <c r="C291" s="134" t="s">
        <v>628</v>
      </c>
      <c r="D291" s="136">
        <v>1013</v>
      </c>
      <c r="E291" s="134" t="s">
        <v>609</v>
      </c>
    </row>
    <row r="292" spans="1:5" x14ac:dyDescent="0.2">
      <c r="A292" s="134" t="str">
        <f t="shared" si="4"/>
        <v>New Mexico - Special Purpose Governments</v>
      </c>
      <c r="B292" s="134" t="s">
        <v>204</v>
      </c>
      <c r="C292" s="134" t="s">
        <v>629</v>
      </c>
      <c r="D292" s="136">
        <v>875</v>
      </c>
      <c r="E292" s="134" t="s">
        <v>609</v>
      </c>
    </row>
    <row r="293" spans="1:5" x14ac:dyDescent="0.2">
      <c r="A293" s="134" t="str">
        <f t="shared" si="4"/>
        <v>New Mexico - General Purpose Governments</v>
      </c>
      <c r="B293" s="134" t="s">
        <v>204</v>
      </c>
      <c r="C293" s="134" t="s">
        <v>630</v>
      </c>
      <c r="D293" s="136">
        <v>138</v>
      </c>
      <c r="E293" s="134" t="s">
        <v>609</v>
      </c>
    </row>
    <row r="294" spans="1:5" x14ac:dyDescent="0.2">
      <c r="A294" s="134" t="str">
        <f t="shared" si="4"/>
        <v>New Mexico - County Governments</v>
      </c>
      <c r="B294" s="134" t="s">
        <v>204</v>
      </c>
      <c r="C294" s="134" t="s">
        <v>165</v>
      </c>
      <c r="D294" s="136">
        <v>33</v>
      </c>
      <c r="E294" s="134" t="s">
        <v>609</v>
      </c>
    </row>
    <row r="295" spans="1:5" x14ac:dyDescent="0.2">
      <c r="A295" s="134" t="str">
        <f t="shared" si="4"/>
        <v>New Mexico - Subcounty Governments</v>
      </c>
      <c r="B295" s="134" t="s">
        <v>204</v>
      </c>
      <c r="C295" s="134" t="s">
        <v>631</v>
      </c>
      <c r="D295" s="136">
        <v>105</v>
      </c>
      <c r="E295" s="134" t="s">
        <v>609</v>
      </c>
    </row>
    <row r="296" spans="1:5" x14ac:dyDescent="0.2">
      <c r="A296" s="134" t="str">
        <f t="shared" si="4"/>
        <v>New Mexico - Subcounty Governments - Municipal Governments</v>
      </c>
      <c r="B296" s="134" t="s">
        <v>204</v>
      </c>
      <c r="C296" s="134" t="s">
        <v>632</v>
      </c>
      <c r="D296" s="136">
        <v>105</v>
      </c>
      <c r="E296" s="134" t="s">
        <v>609</v>
      </c>
    </row>
    <row r="297" spans="1:5" x14ac:dyDescent="0.2">
      <c r="A297" s="134" t="str">
        <f t="shared" si="4"/>
        <v>New Mexico - Subcounty Governments - Township Governments</v>
      </c>
      <c r="B297" s="134" t="s">
        <v>204</v>
      </c>
      <c r="C297" s="134" t="s">
        <v>633</v>
      </c>
      <c r="D297" s="136">
        <v>0</v>
      </c>
      <c r="E297" s="134" t="s">
        <v>609</v>
      </c>
    </row>
    <row r="298" spans="1:5" x14ac:dyDescent="0.2">
      <c r="A298" s="134" t="str">
        <f t="shared" si="4"/>
        <v>New Mexico - Special Purpose Governments - Special District Governments</v>
      </c>
      <c r="B298" s="134" t="s">
        <v>204</v>
      </c>
      <c r="C298" s="134" t="s">
        <v>634</v>
      </c>
      <c r="D298" s="136">
        <v>779</v>
      </c>
      <c r="E298" s="134" t="s">
        <v>609</v>
      </c>
    </row>
    <row r="299" spans="1:5" x14ac:dyDescent="0.2">
      <c r="A299" s="134" t="str">
        <f t="shared" si="4"/>
        <v>New Mexico - Special Purpose Governments - Independent School District Governments</v>
      </c>
      <c r="B299" s="134" t="s">
        <v>204</v>
      </c>
      <c r="C299" s="134" t="s">
        <v>635</v>
      </c>
      <c r="D299" s="136">
        <v>96</v>
      </c>
      <c r="E299" s="134" t="s">
        <v>609</v>
      </c>
    </row>
    <row r="300" spans="1:5" x14ac:dyDescent="0.2">
      <c r="A300" s="134" t="str">
        <f t="shared" si="4"/>
        <v>New York - Total Local Government Units</v>
      </c>
      <c r="B300" s="134" t="s">
        <v>205</v>
      </c>
      <c r="C300" s="134" t="s">
        <v>628</v>
      </c>
      <c r="D300" s="136">
        <v>3450</v>
      </c>
      <c r="E300" s="134" t="s">
        <v>609</v>
      </c>
    </row>
    <row r="301" spans="1:5" x14ac:dyDescent="0.2">
      <c r="A301" s="134" t="str">
        <f t="shared" si="4"/>
        <v>New York - Special Purpose Governments</v>
      </c>
      <c r="B301" s="134" t="s">
        <v>205</v>
      </c>
      <c r="C301" s="134" t="s">
        <v>629</v>
      </c>
      <c r="D301" s="136">
        <v>1863</v>
      </c>
      <c r="E301" s="134" t="s">
        <v>609</v>
      </c>
    </row>
    <row r="302" spans="1:5" x14ac:dyDescent="0.2">
      <c r="A302" s="134" t="str">
        <f t="shared" si="4"/>
        <v>New York - General Purpose Governments</v>
      </c>
      <c r="B302" s="134" t="s">
        <v>205</v>
      </c>
      <c r="C302" s="134" t="s">
        <v>630</v>
      </c>
      <c r="D302" s="136">
        <v>1587</v>
      </c>
      <c r="E302" s="134" t="s">
        <v>609</v>
      </c>
    </row>
    <row r="303" spans="1:5" x14ac:dyDescent="0.2">
      <c r="A303" s="134" t="str">
        <f t="shared" si="4"/>
        <v>New York - County Governments</v>
      </c>
      <c r="B303" s="134" t="s">
        <v>205</v>
      </c>
      <c r="C303" s="134" t="s">
        <v>165</v>
      </c>
      <c r="D303" s="136">
        <v>57</v>
      </c>
      <c r="E303" s="134" t="s">
        <v>609</v>
      </c>
    </row>
    <row r="304" spans="1:5" x14ac:dyDescent="0.2">
      <c r="A304" s="134" t="str">
        <f t="shared" si="4"/>
        <v>New York - Subcounty Governments</v>
      </c>
      <c r="B304" s="134" t="s">
        <v>205</v>
      </c>
      <c r="C304" s="134" t="s">
        <v>631</v>
      </c>
      <c r="D304" s="136">
        <v>1530</v>
      </c>
      <c r="E304" s="134" t="s">
        <v>609</v>
      </c>
    </row>
    <row r="305" spans="1:5" x14ac:dyDescent="0.2">
      <c r="A305" s="134" t="str">
        <f t="shared" si="4"/>
        <v>New York - Subcounty Governments - Municipal Governments</v>
      </c>
      <c r="B305" s="134" t="s">
        <v>205</v>
      </c>
      <c r="C305" s="134" t="s">
        <v>632</v>
      </c>
      <c r="D305" s="136">
        <v>601</v>
      </c>
      <c r="E305" s="134" t="s">
        <v>609</v>
      </c>
    </row>
    <row r="306" spans="1:5" x14ac:dyDescent="0.2">
      <c r="A306" s="134" t="str">
        <f t="shared" si="4"/>
        <v>New York - Subcounty Governments - Township Governments</v>
      </c>
      <c r="B306" s="134" t="s">
        <v>205</v>
      </c>
      <c r="C306" s="134" t="s">
        <v>633</v>
      </c>
      <c r="D306" s="136">
        <v>929</v>
      </c>
      <c r="E306" s="134" t="s">
        <v>609</v>
      </c>
    </row>
    <row r="307" spans="1:5" x14ac:dyDescent="0.2">
      <c r="A307" s="134" t="str">
        <f t="shared" si="4"/>
        <v>New York - Special Purpose Governments - Special District Governments</v>
      </c>
      <c r="B307" s="134" t="s">
        <v>205</v>
      </c>
      <c r="C307" s="134" t="s">
        <v>634</v>
      </c>
      <c r="D307" s="136">
        <v>1185</v>
      </c>
      <c r="E307" s="134" t="s">
        <v>609</v>
      </c>
    </row>
    <row r="308" spans="1:5" x14ac:dyDescent="0.2">
      <c r="A308" s="134" t="str">
        <f t="shared" si="4"/>
        <v>New York - Special Purpose Governments - Independent School District Governments</v>
      </c>
      <c r="B308" s="134" t="s">
        <v>205</v>
      </c>
      <c r="C308" s="134" t="s">
        <v>635</v>
      </c>
      <c r="D308" s="136">
        <v>678</v>
      </c>
      <c r="E308" s="134" t="s">
        <v>609</v>
      </c>
    </row>
    <row r="309" spans="1:5" x14ac:dyDescent="0.2">
      <c r="A309" s="134" t="str">
        <f t="shared" si="4"/>
        <v>North Carolina - Total Local Government Units</v>
      </c>
      <c r="B309" s="134" t="s">
        <v>206</v>
      </c>
      <c r="C309" s="134" t="s">
        <v>628</v>
      </c>
      <c r="D309" s="136">
        <v>970</v>
      </c>
      <c r="E309" s="134" t="s">
        <v>609</v>
      </c>
    </row>
    <row r="310" spans="1:5" x14ac:dyDescent="0.2">
      <c r="A310" s="134" t="str">
        <f t="shared" si="4"/>
        <v>North Carolina - Special Purpose Governments</v>
      </c>
      <c r="B310" s="134" t="s">
        <v>206</v>
      </c>
      <c r="C310" s="134" t="s">
        <v>629</v>
      </c>
      <c r="D310" s="136">
        <v>318</v>
      </c>
      <c r="E310" s="134" t="s">
        <v>609</v>
      </c>
    </row>
    <row r="311" spans="1:5" x14ac:dyDescent="0.2">
      <c r="A311" s="134" t="str">
        <f t="shared" si="4"/>
        <v>North Carolina - General Purpose Governments</v>
      </c>
      <c r="B311" s="134" t="s">
        <v>206</v>
      </c>
      <c r="C311" s="134" t="s">
        <v>630</v>
      </c>
      <c r="D311" s="136">
        <v>652</v>
      </c>
      <c r="E311" s="134" t="s">
        <v>609</v>
      </c>
    </row>
    <row r="312" spans="1:5" x14ac:dyDescent="0.2">
      <c r="A312" s="134" t="str">
        <f t="shared" si="4"/>
        <v>North Carolina - County Governments</v>
      </c>
      <c r="B312" s="134" t="s">
        <v>206</v>
      </c>
      <c r="C312" s="134" t="s">
        <v>165</v>
      </c>
      <c r="D312" s="136">
        <v>100</v>
      </c>
      <c r="E312" s="134" t="s">
        <v>609</v>
      </c>
    </row>
    <row r="313" spans="1:5" x14ac:dyDescent="0.2">
      <c r="A313" s="134" t="str">
        <f t="shared" si="4"/>
        <v>North Carolina - Subcounty Governments</v>
      </c>
      <c r="B313" s="134" t="s">
        <v>206</v>
      </c>
      <c r="C313" s="134" t="s">
        <v>631</v>
      </c>
      <c r="D313" s="136">
        <v>552</v>
      </c>
      <c r="E313" s="134" t="s">
        <v>609</v>
      </c>
    </row>
    <row r="314" spans="1:5" x14ac:dyDescent="0.2">
      <c r="A314" s="134" t="str">
        <f t="shared" si="4"/>
        <v>North Carolina - Subcounty Governments - Municipal Governments</v>
      </c>
      <c r="B314" s="134" t="s">
        <v>206</v>
      </c>
      <c r="C314" s="134" t="s">
        <v>632</v>
      </c>
      <c r="D314" s="136">
        <v>552</v>
      </c>
      <c r="E314" s="134" t="s">
        <v>609</v>
      </c>
    </row>
    <row r="315" spans="1:5" x14ac:dyDescent="0.2">
      <c r="A315" s="134" t="str">
        <f t="shared" si="4"/>
        <v>North Carolina - Subcounty Governments - Township Governments</v>
      </c>
      <c r="B315" s="134" t="s">
        <v>206</v>
      </c>
      <c r="C315" s="134" t="s">
        <v>633</v>
      </c>
      <c r="D315" s="136">
        <v>0</v>
      </c>
      <c r="E315" s="134" t="s">
        <v>609</v>
      </c>
    </row>
    <row r="316" spans="1:5" x14ac:dyDescent="0.2">
      <c r="A316" s="134" t="str">
        <f t="shared" si="4"/>
        <v>North Carolina - Special Purpose Governments - Special District Governments</v>
      </c>
      <c r="B316" s="134" t="s">
        <v>206</v>
      </c>
      <c r="C316" s="134" t="s">
        <v>634</v>
      </c>
      <c r="D316" s="136">
        <v>318</v>
      </c>
      <c r="E316" s="134" t="s">
        <v>609</v>
      </c>
    </row>
    <row r="317" spans="1:5" x14ac:dyDescent="0.2">
      <c r="A317" s="134" t="str">
        <f t="shared" si="4"/>
        <v>North Carolina - Special Purpose Governments - Independent School District Governments</v>
      </c>
      <c r="B317" s="134" t="s">
        <v>206</v>
      </c>
      <c r="C317" s="134" t="s">
        <v>635</v>
      </c>
      <c r="D317" s="136">
        <v>0</v>
      </c>
      <c r="E317" s="134" t="s">
        <v>609</v>
      </c>
    </row>
    <row r="318" spans="1:5" x14ac:dyDescent="0.2">
      <c r="A318" s="134" t="str">
        <f t="shared" si="4"/>
        <v>North Dakota - Total Local Government Units</v>
      </c>
      <c r="B318" s="134" t="s">
        <v>207</v>
      </c>
      <c r="C318" s="134" t="s">
        <v>628</v>
      </c>
      <c r="D318" s="136">
        <v>2664</v>
      </c>
      <c r="E318" s="134" t="s">
        <v>609</v>
      </c>
    </row>
    <row r="319" spans="1:5" x14ac:dyDescent="0.2">
      <c r="A319" s="134" t="str">
        <f t="shared" si="4"/>
        <v>North Dakota - Special Purpose Governments</v>
      </c>
      <c r="B319" s="134" t="s">
        <v>207</v>
      </c>
      <c r="C319" s="134" t="s">
        <v>629</v>
      </c>
      <c r="D319" s="136">
        <v>946</v>
      </c>
      <c r="E319" s="134" t="s">
        <v>609</v>
      </c>
    </row>
    <row r="320" spans="1:5" x14ac:dyDescent="0.2">
      <c r="A320" s="134" t="str">
        <f t="shared" si="4"/>
        <v>North Dakota - General Purpose Governments</v>
      </c>
      <c r="B320" s="134" t="s">
        <v>207</v>
      </c>
      <c r="C320" s="134" t="s">
        <v>630</v>
      </c>
      <c r="D320" s="136">
        <v>1718</v>
      </c>
      <c r="E320" s="134" t="s">
        <v>609</v>
      </c>
    </row>
    <row r="321" spans="1:5" x14ac:dyDescent="0.2">
      <c r="A321" s="134" t="str">
        <f t="shared" si="4"/>
        <v>North Dakota - County Governments</v>
      </c>
      <c r="B321" s="134" t="s">
        <v>207</v>
      </c>
      <c r="C321" s="134" t="s">
        <v>165</v>
      </c>
      <c r="D321" s="136">
        <v>53</v>
      </c>
      <c r="E321" s="134" t="s">
        <v>609</v>
      </c>
    </row>
    <row r="322" spans="1:5" x14ac:dyDescent="0.2">
      <c r="A322" s="134" t="str">
        <f t="shared" si="4"/>
        <v>North Dakota - Subcounty Governments</v>
      </c>
      <c r="B322" s="134" t="s">
        <v>207</v>
      </c>
      <c r="C322" s="134" t="s">
        <v>631</v>
      </c>
      <c r="D322" s="136">
        <v>1665</v>
      </c>
      <c r="E322" s="134" t="s">
        <v>609</v>
      </c>
    </row>
    <row r="323" spans="1:5" x14ac:dyDescent="0.2">
      <c r="A323" s="134" t="str">
        <f t="shared" si="4"/>
        <v>North Dakota - Subcounty Governments - Municipal Governments</v>
      </c>
      <c r="B323" s="134" t="s">
        <v>207</v>
      </c>
      <c r="C323" s="134" t="s">
        <v>632</v>
      </c>
      <c r="D323" s="136">
        <v>357</v>
      </c>
      <c r="E323" s="134" t="s">
        <v>609</v>
      </c>
    </row>
    <row r="324" spans="1:5" x14ac:dyDescent="0.2">
      <c r="A324" s="134" t="str">
        <f t="shared" ref="A324:A387" si="5">_xlfn.CONCAT(B324," - ",C324)</f>
        <v>North Dakota - Subcounty Governments - Township Governments</v>
      </c>
      <c r="B324" s="134" t="s">
        <v>207</v>
      </c>
      <c r="C324" s="134" t="s">
        <v>633</v>
      </c>
      <c r="D324" s="136">
        <v>1308</v>
      </c>
      <c r="E324" s="134" t="s">
        <v>609</v>
      </c>
    </row>
    <row r="325" spans="1:5" x14ac:dyDescent="0.2">
      <c r="A325" s="134" t="str">
        <f t="shared" si="5"/>
        <v>North Dakota - Special Purpose Governments - Special District Governments</v>
      </c>
      <c r="B325" s="134" t="s">
        <v>207</v>
      </c>
      <c r="C325" s="134" t="s">
        <v>634</v>
      </c>
      <c r="D325" s="136">
        <v>767</v>
      </c>
      <c r="E325" s="134" t="s">
        <v>609</v>
      </c>
    </row>
    <row r="326" spans="1:5" x14ac:dyDescent="0.2">
      <c r="A326" s="134" t="str">
        <f t="shared" si="5"/>
        <v>North Dakota - Special Purpose Governments - Independent School District Governments</v>
      </c>
      <c r="B326" s="134" t="s">
        <v>207</v>
      </c>
      <c r="C326" s="134" t="s">
        <v>635</v>
      </c>
      <c r="D326" s="136">
        <v>179</v>
      </c>
      <c r="E326" s="134" t="s">
        <v>609</v>
      </c>
    </row>
    <row r="327" spans="1:5" x14ac:dyDescent="0.2">
      <c r="A327" s="134" t="str">
        <f t="shared" si="5"/>
        <v>Ohio - Total Local Government Units</v>
      </c>
      <c r="B327" s="134" t="s">
        <v>208</v>
      </c>
      <c r="C327" s="134" t="s">
        <v>628</v>
      </c>
      <c r="D327" s="136">
        <v>3897</v>
      </c>
      <c r="E327" s="134" t="s">
        <v>609</v>
      </c>
    </row>
    <row r="328" spans="1:5" x14ac:dyDescent="0.2">
      <c r="A328" s="134" t="str">
        <f t="shared" si="5"/>
        <v>Ohio - Special Purpose Governments</v>
      </c>
      <c r="B328" s="134" t="s">
        <v>208</v>
      </c>
      <c r="C328" s="134" t="s">
        <v>629</v>
      </c>
      <c r="D328" s="136">
        <v>1570</v>
      </c>
      <c r="E328" s="134" t="s">
        <v>609</v>
      </c>
    </row>
    <row r="329" spans="1:5" x14ac:dyDescent="0.2">
      <c r="A329" s="134" t="str">
        <f t="shared" si="5"/>
        <v>Ohio - General Purpose Governments</v>
      </c>
      <c r="B329" s="134" t="s">
        <v>208</v>
      </c>
      <c r="C329" s="134" t="s">
        <v>630</v>
      </c>
      <c r="D329" s="136">
        <v>2327</v>
      </c>
      <c r="E329" s="134" t="s">
        <v>609</v>
      </c>
    </row>
    <row r="330" spans="1:5" x14ac:dyDescent="0.2">
      <c r="A330" s="134" t="str">
        <f t="shared" si="5"/>
        <v>Ohio - County Governments</v>
      </c>
      <c r="B330" s="134" t="s">
        <v>208</v>
      </c>
      <c r="C330" s="134" t="s">
        <v>165</v>
      </c>
      <c r="D330" s="136">
        <v>88</v>
      </c>
      <c r="E330" s="134" t="s">
        <v>609</v>
      </c>
    </row>
    <row r="331" spans="1:5" x14ac:dyDescent="0.2">
      <c r="A331" s="134" t="str">
        <f t="shared" si="5"/>
        <v>Ohio - Subcounty Governments</v>
      </c>
      <c r="B331" s="134" t="s">
        <v>208</v>
      </c>
      <c r="C331" s="134" t="s">
        <v>631</v>
      </c>
      <c r="D331" s="136">
        <v>2239</v>
      </c>
      <c r="E331" s="134" t="s">
        <v>609</v>
      </c>
    </row>
    <row r="332" spans="1:5" x14ac:dyDescent="0.2">
      <c r="A332" s="134" t="str">
        <f t="shared" si="5"/>
        <v>Ohio - Subcounty Governments - Municipal Governments</v>
      </c>
      <c r="B332" s="134" t="s">
        <v>208</v>
      </c>
      <c r="C332" s="134" t="s">
        <v>632</v>
      </c>
      <c r="D332" s="136">
        <v>931</v>
      </c>
      <c r="E332" s="134" t="s">
        <v>609</v>
      </c>
    </row>
    <row r="333" spans="1:5" x14ac:dyDescent="0.2">
      <c r="A333" s="134" t="str">
        <f t="shared" si="5"/>
        <v>Ohio - Subcounty Governments - Township Governments</v>
      </c>
      <c r="B333" s="134" t="s">
        <v>208</v>
      </c>
      <c r="C333" s="134" t="s">
        <v>633</v>
      </c>
      <c r="D333" s="136">
        <v>1308</v>
      </c>
      <c r="E333" s="134" t="s">
        <v>609</v>
      </c>
    </row>
    <row r="334" spans="1:5" x14ac:dyDescent="0.2">
      <c r="A334" s="134" t="str">
        <f t="shared" si="5"/>
        <v>Ohio - Special Purpose Governments - Special District Governments</v>
      </c>
      <c r="B334" s="134" t="s">
        <v>208</v>
      </c>
      <c r="C334" s="134" t="s">
        <v>634</v>
      </c>
      <c r="D334" s="136">
        <v>904</v>
      </c>
      <c r="E334" s="134" t="s">
        <v>609</v>
      </c>
    </row>
    <row r="335" spans="1:5" x14ac:dyDescent="0.2">
      <c r="A335" s="134" t="str">
        <f t="shared" si="5"/>
        <v>Ohio - Special Purpose Governments - Independent School District Governments</v>
      </c>
      <c r="B335" s="134" t="s">
        <v>208</v>
      </c>
      <c r="C335" s="134" t="s">
        <v>635</v>
      </c>
      <c r="D335" s="136">
        <v>666</v>
      </c>
      <c r="E335" s="134" t="s">
        <v>609</v>
      </c>
    </row>
    <row r="336" spans="1:5" x14ac:dyDescent="0.2">
      <c r="A336" s="134" t="str">
        <f t="shared" si="5"/>
        <v>Oklahoma - Total Local Government Units</v>
      </c>
      <c r="B336" s="134" t="s">
        <v>209</v>
      </c>
      <c r="C336" s="134" t="s">
        <v>628</v>
      </c>
      <c r="D336" s="136">
        <v>1830</v>
      </c>
      <c r="E336" s="134" t="s">
        <v>609</v>
      </c>
    </row>
    <row r="337" spans="1:5" x14ac:dyDescent="0.2">
      <c r="A337" s="134" t="str">
        <f t="shared" si="5"/>
        <v>Oklahoma - Special Purpose Governments</v>
      </c>
      <c r="B337" s="134" t="s">
        <v>209</v>
      </c>
      <c r="C337" s="134" t="s">
        <v>629</v>
      </c>
      <c r="D337" s="136">
        <v>1163</v>
      </c>
      <c r="E337" s="134" t="s">
        <v>609</v>
      </c>
    </row>
    <row r="338" spans="1:5" x14ac:dyDescent="0.2">
      <c r="A338" s="134" t="str">
        <f t="shared" si="5"/>
        <v>Oklahoma - General Purpose Governments</v>
      </c>
      <c r="B338" s="134" t="s">
        <v>209</v>
      </c>
      <c r="C338" s="134" t="s">
        <v>630</v>
      </c>
      <c r="D338" s="136">
        <v>667</v>
      </c>
      <c r="E338" s="134" t="s">
        <v>609</v>
      </c>
    </row>
    <row r="339" spans="1:5" x14ac:dyDescent="0.2">
      <c r="A339" s="134" t="str">
        <f t="shared" si="5"/>
        <v>Oklahoma - County Governments</v>
      </c>
      <c r="B339" s="134" t="s">
        <v>209</v>
      </c>
      <c r="C339" s="134" t="s">
        <v>165</v>
      </c>
      <c r="D339" s="136">
        <v>77</v>
      </c>
      <c r="E339" s="134" t="s">
        <v>609</v>
      </c>
    </row>
    <row r="340" spans="1:5" x14ac:dyDescent="0.2">
      <c r="A340" s="134" t="str">
        <f t="shared" si="5"/>
        <v>Oklahoma - Subcounty Governments</v>
      </c>
      <c r="B340" s="134" t="s">
        <v>209</v>
      </c>
      <c r="C340" s="134" t="s">
        <v>631</v>
      </c>
      <c r="D340" s="136">
        <v>590</v>
      </c>
      <c r="E340" s="134" t="s">
        <v>609</v>
      </c>
    </row>
    <row r="341" spans="1:5" x14ac:dyDescent="0.2">
      <c r="A341" s="134" t="str">
        <f t="shared" si="5"/>
        <v>Oklahoma - Subcounty Governments - Municipal Governments</v>
      </c>
      <c r="B341" s="134" t="s">
        <v>209</v>
      </c>
      <c r="C341" s="134" t="s">
        <v>632</v>
      </c>
      <c r="D341" s="136">
        <v>590</v>
      </c>
      <c r="E341" s="134" t="s">
        <v>609</v>
      </c>
    </row>
    <row r="342" spans="1:5" x14ac:dyDescent="0.2">
      <c r="A342" s="134" t="str">
        <f t="shared" si="5"/>
        <v>Oklahoma - Subcounty Governments - Township Governments</v>
      </c>
      <c r="B342" s="134" t="s">
        <v>209</v>
      </c>
      <c r="C342" s="134" t="s">
        <v>633</v>
      </c>
      <c r="D342" s="136">
        <v>0</v>
      </c>
      <c r="E342" s="134" t="s">
        <v>609</v>
      </c>
    </row>
    <row r="343" spans="1:5" x14ac:dyDescent="0.2">
      <c r="A343" s="134" t="str">
        <f t="shared" si="5"/>
        <v>Oklahoma - Special Purpose Governments - Special District Governments</v>
      </c>
      <c r="B343" s="134" t="s">
        <v>209</v>
      </c>
      <c r="C343" s="134" t="s">
        <v>634</v>
      </c>
      <c r="D343" s="136">
        <v>621</v>
      </c>
      <c r="E343" s="134" t="s">
        <v>609</v>
      </c>
    </row>
    <row r="344" spans="1:5" x14ac:dyDescent="0.2">
      <c r="A344" s="134" t="str">
        <f t="shared" si="5"/>
        <v>Oklahoma - Special Purpose Governments - Independent School District Governments</v>
      </c>
      <c r="B344" s="134" t="s">
        <v>209</v>
      </c>
      <c r="C344" s="134" t="s">
        <v>635</v>
      </c>
      <c r="D344" s="136">
        <v>542</v>
      </c>
      <c r="E344" s="134" t="s">
        <v>609</v>
      </c>
    </row>
    <row r="345" spans="1:5" x14ac:dyDescent="0.2">
      <c r="A345" s="134" t="str">
        <f t="shared" si="5"/>
        <v>Oregon - Total Local Government Units</v>
      </c>
      <c r="B345" s="134" t="s">
        <v>210</v>
      </c>
      <c r="C345" s="134" t="s">
        <v>628</v>
      </c>
      <c r="D345" s="136">
        <v>1510</v>
      </c>
      <c r="E345" s="134" t="s">
        <v>609</v>
      </c>
    </row>
    <row r="346" spans="1:5" x14ac:dyDescent="0.2">
      <c r="A346" s="134" t="str">
        <f t="shared" si="5"/>
        <v>Oregon - Special Purpose Governments</v>
      </c>
      <c r="B346" s="134" t="s">
        <v>210</v>
      </c>
      <c r="C346" s="134" t="s">
        <v>629</v>
      </c>
      <c r="D346" s="136">
        <v>1234</v>
      </c>
      <c r="E346" s="134" t="s">
        <v>609</v>
      </c>
    </row>
    <row r="347" spans="1:5" x14ac:dyDescent="0.2">
      <c r="A347" s="134" t="str">
        <f t="shared" si="5"/>
        <v>Oregon - General Purpose Governments</v>
      </c>
      <c r="B347" s="134" t="s">
        <v>210</v>
      </c>
      <c r="C347" s="134" t="s">
        <v>630</v>
      </c>
      <c r="D347" s="136">
        <v>276</v>
      </c>
      <c r="E347" s="134" t="s">
        <v>609</v>
      </c>
    </row>
    <row r="348" spans="1:5" x14ac:dyDescent="0.2">
      <c r="A348" s="134" t="str">
        <f t="shared" si="5"/>
        <v>Oregon - County Governments</v>
      </c>
      <c r="B348" s="134" t="s">
        <v>210</v>
      </c>
      <c r="C348" s="134" t="s">
        <v>165</v>
      </c>
      <c r="D348" s="136">
        <v>36</v>
      </c>
      <c r="E348" s="134" t="s">
        <v>609</v>
      </c>
    </row>
    <row r="349" spans="1:5" x14ac:dyDescent="0.2">
      <c r="A349" s="134" t="str">
        <f t="shared" si="5"/>
        <v>Oregon - Subcounty Governments</v>
      </c>
      <c r="B349" s="134" t="s">
        <v>210</v>
      </c>
      <c r="C349" s="134" t="s">
        <v>631</v>
      </c>
      <c r="D349" s="136">
        <v>240</v>
      </c>
      <c r="E349" s="134" t="s">
        <v>609</v>
      </c>
    </row>
    <row r="350" spans="1:5" x14ac:dyDescent="0.2">
      <c r="A350" s="134" t="str">
        <f t="shared" si="5"/>
        <v>Oregon - Subcounty Governments - Municipal Governments</v>
      </c>
      <c r="B350" s="134" t="s">
        <v>210</v>
      </c>
      <c r="C350" s="134" t="s">
        <v>632</v>
      </c>
      <c r="D350" s="136">
        <v>240</v>
      </c>
      <c r="E350" s="134" t="s">
        <v>609</v>
      </c>
    </row>
    <row r="351" spans="1:5" x14ac:dyDescent="0.2">
      <c r="A351" s="134" t="str">
        <f t="shared" si="5"/>
        <v>Oregon - Subcounty Governments - Township Governments</v>
      </c>
      <c r="B351" s="134" t="s">
        <v>210</v>
      </c>
      <c r="C351" s="134" t="s">
        <v>633</v>
      </c>
      <c r="D351" s="136">
        <v>0</v>
      </c>
      <c r="E351" s="134" t="s">
        <v>609</v>
      </c>
    </row>
    <row r="352" spans="1:5" x14ac:dyDescent="0.2">
      <c r="A352" s="134" t="str">
        <f t="shared" si="5"/>
        <v>Oregon - Special Purpose Governments - Special District Governments</v>
      </c>
      <c r="B352" s="134" t="s">
        <v>210</v>
      </c>
      <c r="C352" s="134" t="s">
        <v>634</v>
      </c>
      <c r="D352" s="136">
        <v>1004</v>
      </c>
      <c r="E352" s="134" t="s">
        <v>609</v>
      </c>
    </row>
    <row r="353" spans="1:5" x14ac:dyDescent="0.2">
      <c r="A353" s="134" t="str">
        <f t="shared" si="5"/>
        <v>Oregon - Special Purpose Governments - Independent School District Governments</v>
      </c>
      <c r="B353" s="134" t="s">
        <v>210</v>
      </c>
      <c r="C353" s="134" t="s">
        <v>635</v>
      </c>
      <c r="D353" s="136">
        <v>230</v>
      </c>
      <c r="E353" s="134" t="s">
        <v>609</v>
      </c>
    </row>
    <row r="354" spans="1:5" x14ac:dyDescent="0.2">
      <c r="A354" s="134" t="str">
        <f t="shared" si="5"/>
        <v>Pennsylvania - Total Local Government Units</v>
      </c>
      <c r="B354" s="134" t="s">
        <v>211</v>
      </c>
      <c r="C354" s="134" t="s">
        <v>628</v>
      </c>
      <c r="D354" s="136">
        <v>4830</v>
      </c>
      <c r="E354" s="134" t="s">
        <v>609</v>
      </c>
    </row>
    <row r="355" spans="1:5" x14ac:dyDescent="0.2">
      <c r="A355" s="134" t="str">
        <f t="shared" si="5"/>
        <v>Pennsylvania - Special Purpose Governments</v>
      </c>
      <c r="B355" s="134" t="s">
        <v>211</v>
      </c>
      <c r="C355" s="134" t="s">
        <v>629</v>
      </c>
      <c r="D355" s="136">
        <v>2205</v>
      </c>
      <c r="E355" s="134" t="s">
        <v>609</v>
      </c>
    </row>
    <row r="356" spans="1:5" x14ac:dyDescent="0.2">
      <c r="A356" s="134" t="str">
        <f t="shared" si="5"/>
        <v>Pennsylvania - General Purpose Governments</v>
      </c>
      <c r="B356" s="134" t="s">
        <v>211</v>
      </c>
      <c r="C356" s="134" t="s">
        <v>630</v>
      </c>
      <c r="D356" s="136">
        <v>2625</v>
      </c>
      <c r="E356" s="134" t="s">
        <v>609</v>
      </c>
    </row>
    <row r="357" spans="1:5" x14ac:dyDescent="0.2">
      <c r="A357" s="134" t="str">
        <f t="shared" si="5"/>
        <v>Pennsylvania - County Governments</v>
      </c>
      <c r="B357" s="134" t="s">
        <v>211</v>
      </c>
      <c r="C357" s="134" t="s">
        <v>165</v>
      </c>
      <c r="D357" s="136">
        <v>66</v>
      </c>
      <c r="E357" s="134" t="s">
        <v>609</v>
      </c>
    </row>
    <row r="358" spans="1:5" x14ac:dyDescent="0.2">
      <c r="A358" s="134" t="str">
        <f t="shared" si="5"/>
        <v>Pennsylvania - Subcounty Governments</v>
      </c>
      <c r="B358" s="134" t="s">
        <v>211</v>
      </c>
      <c r="C358" s="134" t="s">
        <v>631</v>
      </c>
      <c r="D358" s="136">
        <v>2559</v>
      </c>
      <c r="E358" s="134" t="s">
        <v>609</v>
      </c>
    </row>
    <row r="359" spans="1:5" x14ac:dyDescent="0.2">
      <c r="A359" s="134" t="str">
        <f t="shared" si="5"/>
        <v>Pennsylvania - Subcounty Governments - Municipal Governments</v>
      </c>
      <c r="B359" s="134" t="s">
        <v>211</v>
      </c>
      <c r="C359" s="134" t="s">
        <v>632</v>
      </c>
      <c r="D359" s="136">
        <v>1013</v>
      </c>
      <c r="E359" s="134" t="s">
        <v>609</v>
      </c>
    </row>
    <row r="360" spans="1:5" x14ac:dyDescent="0.2">
      <c r="A360" s="134" t="str">
        <f t="shared" si="5"/>
        <v>Pennsylvania - Subcounty Governments - Township Governments</v>
      </c>
      <c r="B360" s="134" t="s">
        <v>211</v>
      </c>
      <c r="C360" s="134" t="s">
        <v>633</v>
      </c>
      <c r="D360" s="136">
        <v>1546</v>
      </c>
      <c r="E360" s="134" t="s">
        <v>609</v>
      </c>
    </row>
    <row r="361" spans="1:5" x14ac:dyDescent="0.2">
      <c r="A361" s="134" t="str">
        <f t="shared" si="5"/>
        <v>Pennsylvania - Special Purpose Governments - Special District Governments</v>
      </c>
      <c r="B361" s="134" t="s">
        <v>211</v>
      </c>
      <c r="C361" s="134" t="s">
        <v>634</v>
      </c>
      <c r="D361" s="136">
        <v>1691</v>
      </c>
      <c r="E361" s="134" t="s">
        <v>609</v>
      </c>
    </row>
    <row r="362" spans="1:5" x14ac:dyDescent="0.2">
      <c r="A362" s="134" t="str">
        <f t="shared" si="5"/>
        <v>Pennsylvania - Special Purpose Governments - Independent School District Governments</v>
      </c>
      <c r="B362" s="134" t="s">
        <v>211</v>
      </c>
      <c r="C362" s="134" t="s">
        <v>635</v>
      </c>
      <c r="D362" s="136">
        <v>514</v>
      </c>
      <c r="E362" s="134" t="s">
        <v>609</v>
      </c>
    </row>
    <row r="363" spans="1:5" x14ac:dyDescent="0.2">
      <c r="A363" s="134" t="str">
        <f t="shared" si="5"/>
        <v>Rhode Island - Total Local Government Units</v>
      </c>
      <c r="B363" s="134" t="s">
        <v>212</v>
      </c>
      <c r="C363" s="134" t="s">
        <v>628</v>
      </c>
      <c r="D363" s="136">
        <v>129</v>
      </c>
      <c r="E363" s="134" t="s">
        <v>609</v>
      </c>
    </row>
    <row r="364" spans="1:5" x14ac:dyDescent="0.2">
      <c r="A364" s="134" t="str">
        <f t="shared" si="5"/>
        <v>Rhode Island - Special Purpose Governments</v>
      </c>
      <c r="B364" s="134" t="s">
        <v>212</v>
      </c>
      <c r="C364" s="134" t="s">
        <v>629</v>
      </c>
      <c r="D364" s="136">
        <v>90</v>
      </c>
      <c r="E364" s="134" t="s">
        <v>609</v>
      </c>
    </row>
    <row r="365" spans="1:5" x14ac:dyDescent="0.2">
      <c r="A365" s="134" t="str">
        <f t="shared" si="5"/>
        <v>Rhode Island - General Purpose Governments</v>
      </c>
      <c r="B365" s="134" t="s">
        <v>212</v>
      </c>
      <c r="C365" s="134" t="s">
        <v>630</v>
      </c>
      <c r="D365" s="136">
        <v>39</v>
      </c>
      <c r="E365" s="134" t="s">
        <v>609</v>
      </c>
    </row>
    <row r="366" spans="1:5" x14ac:dyDescent="0.2">
      <c r="A366" s="134" t="str">
        <f t="shared" si="5"/>
        <v>Rhode Island - County Governments</v>
      </c>
      <c r="B366" s="134" t="s">
        <v>212</v>
      </c>
      <c r="C366" s="134" t="s">
        <v>165</v>
      </c>
      <c r="D366" s="136">
        <v>0</v>
      </c>
      <c r="E366" s="134" t="s">
        <v>609</v>
      </c>
    </row>
    <row r="367" spans="1:5" x14ac:dyDescent="0.2">
      <c r="A367" s="134" t="str">
        <f t="shared" si="5"/>
        <v>Rhode Island - Subcounty Governments</v>
      </c>
      <c r="B367" s="134" t="s">
        <v>212</v>
      </c>
      <c r="C367" s="134" t="s">
        <v>631</v>
      </c>
      <c r="D367" s="136">
        <v>39</v>
      </c>
      <c r="E367" s="134" t="s">
        <v>609</v>
      </c>
    </row>
    <row r="368" spans="1:5" x14ac:dyDescent="0.2">
      <c r="A368" s="134" t="str">
        <f t="shared" si="5"/>
        <v>Rhode Island - Subcounty Governments - Municipal Governments</v>
      </c>
      <c r="B368" s="134" t="s">
        <v>212</v>
      </c>
      <c r="C368" s="134" t="s">
        <v>632</v>
      </c>
      <c r="D368" s="136">
        <v>8</v>
      </c>
      <c r="E368" s="134" t="s">
        <v>609</v>
      </c>
    </row>
    <row r="369" spans="1:5" x14ac:dyDescent="0.2">
      <c r="A369" s="134" t="str">
        <f t="shared" si="5"/>
        <v>Rhode Island - Subcounty Governments - Township Governments</v>
      </c>
      <c r="B369" s="134" t="s">
        <v>212</v>
      </c>
      <c r="C369" s="134" t="s">
        <v>633</v>
      </c>
      <c r="D369" s="136">
        <v>31</v>
      </c>
      <c r="E369" s="134" t="s">
        <v>609</v>
      </c>
    </row>
    <row r="370" spans="1:5" x14ac:dyDescent="0.2">
      <c r="A370" s="134" t="str">
        <f t="shared" si="5"/>
        <v>Rhode Island - Special Purpose Governments - Special District Governments</v>
      </c>
      <c r="B370" s="134" t="s">
        <v>212</v>
      </c>
      <c r="C370" s="134" t="s">
        <v>634</v>
      </c>
      <c r="D370" s="136">
        <v>86</v>
      </c>
      <c r="E370" s="134" t="s">
        <v>609</v>
      </c>
    </row>
    <row r="371" spans="1:5" x14ac:dyDescent="0.2">
      <c r="A371" s="134" t="str">
        <f t="shared" si="5"/>
        <v>Rhode Island - Special Purpose Governments - Independent School District Governments</v>
      </c>
      <c r="B371" s="134" t="s">
        <v>212</v>
      </c>
      <c r="C371" s="134" t="s">
        <v>635</v>
      </c>
      <c r="D371" s="136">
        <v>4</v>
      </c>
      <c r="E371" s="134" t="s">
        <v>609</v>
      </c>
    </row>
    <row r="372" spans="1:5" x14ac:dyDescent="0.2">
      <c r="A372" s="134" t="str">
        <f t="shared" si="5"/>
        <v>South Carolina - Total Local Government Units</v>
      </c>
      <c r="B372" s="134" t="s">
        <v>213</v>
      </c>
      <c r="C372" s="134" t="s">
        <v>628</v>
      </c>
      <c r="D372" s="136">
        <v>671</v>
      </c>
      <c r="E372" s="134" t="s">
        <v>609</v>
      </c>
    </row>
    <row r="373" spans="1:5" x14ac:dyDescent="0.2">
      <c r="A373" s="134" t="str">
        <f t="shared" si="5"/>
        <v>South Carolina - Special Purpose Governments</v>
      </c>
      <c r="B373" s="134" t="s">
        <v>213</v>
      </c>
      <c r="C373" s="134" t="s">
        <v>629</v>
      </c>
      <c r="D373" s="136">
        <v>355</v>
      </c>
      <c r="E373" s="134" t="s">
        <v>609</v>
      </c>
    </row>
    <row r="374" spans="1:5" x14ac:dyDescent="0.2">
      <c r="A374" s="134" t="str">
        <f t="shared" si="5"/>
        <v>South Carolina - General Purpose Governments</v>
      </c>
      <c r="B374" s="134" t="s">
        <v>213</v>
      </c>
      <c r="C374" s="134" t="s">
        <v>630</v>
      </c>
      <c r="D374" s="136">
        <v>316</v>
      </c>
      <c r="E374" s="134" t="s">
        <v>609</v>
      </c>
    </row>
    <row r="375" spans="1:5" x14ac:dyDescent="0.2">
      <c r="A375" s="134" t="str">
        <f t="shared" si="5"/>
        <v>South Carolina - County Governments</v>
      </c>
      <c r="B375" s="134" t="s">
        <v>213</v>
      </c>
      <c r="C375" s="134" t="s">
        <v>165</v>
      </c>
      <c r="D375" s="136">
        <v>46</v>
      </c>
      <c r="E375" s="134" t="s">
        <v>609</v>
      </c>
    </row>
    <row r="376" spans="1:5" x14ac:dyDescent="0.2">
      <c r="A376" s="134" t="str">
        <f t="shared" si="5"/>
        <v>South Carolina - Subcounty Governments</v>
      </c>
      <c r="B376" s="134" t="s">
        <v>213</v>
      </c>
      <c r="C376" s="134" t="s">
        <v>631</v>
      </c>
      <c r="D376" s="136">
        <v>270</v>
      </c>
      <c r="E376" s="134" t="s">
        <v>609</v>
      </c>
    </row>
    <row r="377" spans="1:5" x14ac:dyDescent="0.2">
      <c r="A377" s="134" t="str">
        <f t="shared" si="5"/>
        <v>South Carolina - Subcounty Governments - Municipal Governments</v>
      </c>
      <c r="B377" s="134" t="s">
        <v>213</v>
      </c>
      <c r="C377" s="134" t="s">
        <v>632</v>
      </c>
      <c r="D377" s="136">
        <v>270</v>
      </c>
      <c r="E377" s="134" t="s">
        <v>609</v>
      </c>
    </row>
    <row r="378" spans="1:5" x14ac:dyDescent="0.2">
      <c r="A378" s="134" t="str">
        <f t="shared" si="5"/>
        <v>South Carolina - Subcounty Governments - Township Governments</v>
      </c>
      <c r="B378" s="134" t="s">
        <v>213</v>
      </c>
      <c r="C378" s="134" t="s">
        <v>633</v>
      </c>
      <c r="D378" s="136">
        <v>0</v>
      </c>
      <c r="E378" s="134" t="s">
        <v>609</v>
      </c>
    </row>
    <row r="379" spans="1:5" x14ac:dyDescent="0.2">
      <c r="A379" s="134" t="str">
        <f t="shared" si="5"/>
        <v>South Carolina - Special Purpose Governments - Special District Governments</v>
      </c>
      <c r="B379" s="134" t="s">
        <v>213</v>
      </c>
      <c r="C379" s="134" t="s">
        <v>634</v>
      </c>
      <c r="D379" s="136">
        <v>274</v>
      </c>
      <c r="E379" s="134" t="s">
        <v>609</v>
      </c>
    </row>
    <row r="380" spans="1:5" x14ac:dyDescent="0.2">
      <c r="A380" s="134" t="str">
        <f t="shared" si="5"/>
        <v>South Carolina - Special Purpose Governments - Independent School District Governments</v>
      </c>
      <c r="B380" s="134" t="s">
        <v>213</v>
      </c>
      <c r="C380" s="134" t="s">
        <v>635</v>
      </c>
      <c r="D380" s="136">
        <v>81</v>
      </c>
      <c r="E380" s="134" t="s">
        <v>609</v>
      </c>
    </row>
    <row r="381" spans="1:5" x14ac:dyDescent="0.2">
      <c r="A381" s="134" t="str">
        <f t="shared" si="5"/>
        <v>South Dakota - Total Local Government Units</v>
      </c>
      <c r="B381" s="134" t="s">
        <v>214</v>
      </c>
      <c r="C381" s="134" t="s">
        <v>628</v>
      </c>
      <c r="D381" s="136">
        <v>1916</v>
      </c>
      <c r="E381" s="134" t="s">
        <v>609</v>
      </c>
    </row>
    <row r="382" spans="1:5" x14ac:dyDescent="0.2">
      <c r="A382" s="134" t="str">
        <f t="shared" si="5"/>
        <v>South Dakota - Special Purpose Governments</v>
      </c>
      <c r="B382" s="134" t="s">
        <v>214</v>
      </c>
      <c r="C382" s="134" t="s">
        <v>629</v>
      </c>
      <c r="D382" s="136">
        <v>637</v>
      </c>
      <c r="E382" s="134" t="s">
        <v>609</v>
      </c>
    </row>
    <row r="383" spans="1:5" x14ac:dyDescent="0.2">
      <c r="A383" s="134" t="str">
        <f t="shared" si="5"/>
        <v>South Dakota - General Purpose Governments</v>
      </c>
      <c r="B383" s="134" t="s">
        <v>214</v>
      </c>
      <c r="C383" s="134" t="s">
        <v>630</v>
      </c>
      <c r="D383" s="136">
        <v>1279</v>
      </c>
      <c r="E383" s="134" t="s">
        <v>609</v>
      </c>
    </row>
    <row r="384" spans="1:5" x14ac:dyDescent="0.2">
      <c r="A384" s="134" t="str">
        <f t="shared" si="5"/>
        <v>South Dakota - County Governments</v>
      </c>
      <c r="B384" s="134" t="s">
        <v>214</v>
      </c>
      <c r="C384" s="134" t="s">
        <v>165</v>
      </c>
      <c r="D384" s="136">
        <v>66</v>
      </c>
      <c r="E384" s="134" t="s">
        <v>609</v>
      </c>
    </row>
    <row r="385" spans="1:5" x14ac:dyDescent="0.2">
      <c r="A385" s="134" t="str">
        <f t="shared" si="5"/>
        <v>South Dakota - Subcounty Governments</v>
      </c>
      <c r="B385" s="134" t="s">
        <v>214</v>
      </c>
      <c r="C385" s="134" t="s">
        <v>631</v>
      </c>
      <c r="D385" s="136">
        <v>1213</v>
      </c>
      <c r="E385" s="134" t="s">
        <v>609</v>
      </c>
    </row>
    <row r="386" spans="1:5" x14ac:dyDescent="0.2">
      <c r="A386" s="134" t="str">
        <f t="shared" si="5"/>
        <v>South Dakota - Subcounty Governments - Municipal Governments</v>
      </c>
      <c r="B386" s="134" t="s">
        <v>214</v>
      </c>
      <c r="C386" s="134" t="s">
        <v>632</v>
      </c>
      <c r="D386" s="136">
        <v>311</v>
      </c>
      <c r="E386" s="134" t="s">
        <v>609</v>
      </c>
    </row>
    <row r="387" spans="1:5" x14ac:dyDescent="0.2">
      <c r="A387" s="134" t="str">
        <f t="shared" si="5"/>
        <v>South Dakota - Subcounty Governments - Township Governments</v>
      </c>
      <c r="B387" s="134" t="s">
        <v>214</v>
      </c>
      <c r="C387" s="134" t="s">
        <v>633</v>
      </c>
      <c r="D387" s="136">
        <v>902</v>
      </c>
      <c r="E387" s="134" t="s">
        <v>609</v>
      </c>
    </row>
    <row r="388" spans="1:5" x14ac:dyDescent="0.2">
      <c r="A388" s="134" t="str">
        <f t="shared" ref="A388:A451" si="6">_xlfn.CONCAT(B388," - ",C388)</f>
        <v>South Dakota - Special Purpose Governments - Special District Governments</v>
      </c>
      <c r="B388" s="134" t="s">
        <v>214</v>
      </c>
      <c r="C388" s="134" t="s">
        <v>634</v>
      </c>
      <c r="D388" s="136">
        <v>487</v>
      </c>
      <c r="E388" s="134" t="s">
        <v>609</v>
      </c>
    </row>
    <row r="389" spans="1:5" x14ac:dyDescent="0.2">
      <c r="A389" s="134" t="str">
        <f t="shared" si="6"/>
        <v>South Dakota - Special Purpose Governments - Independent School District Governments</v>
      </c>
      <c r="B389" s="134" t="s">
        <v>214</v>
      </c>
      <c r="C389" s="134" t="s">
        <v>635</v>
      </c>
      <c r="D389" s="136">
        <v>150</v>
      </c>
      <c r="E389" s="134" t="s">
        <v>609</v>
      </c>
    </row>
    <row r="390" spans="1:5" x14ac:dyDescent="0.2">
      <c r="A390" s="134" t="str">
        <f t="shared" si="6"/>
        <v>Tennessee - Total Local Government Units</v>
      </c>
      <c r="B390" s="134" t="s">
        <v>215</v>
      </c>
      <c r="C390" s="134" t="s">
        <v>628</v>
      </c>
      <c r="D390" s="136">
        <v>906</v>
      </c>
      <c r="E390" s="134" t="s">
        <v>609</v>
      </c>
    </row>
    <row r="391" spans="1:5" x14ac:dyDescent="0.2">
      <c r="A391" s="134" t="str">
        <f t="shared" si="6"/>
        <v>Tennessee - Special Purpose Governments</v>
      </c>
      <c r="B391" s="134" t="s">
        <v>215</v>
      </c>
      <c r="C391" s="134" t="s">
        <v>629</v>
      </c>
      <c r="D391" s="136">
        <v>469</v>
      </c>
      <c r="E391" s="134" t="s">
        <v>609</v>
      </c>
    </row>
    <row r="392" spans="1:5" x14ac:dyDescent="0.2">
      <c r="A392" s="134" t="str">
        <f t="shared" si="6"/>
        <v>Tennessee - General Purpose Governments</v>
      </c>
      <c r="B392" s="134" t="s">
        <v>215</v>
      </c>
      <c r="C392" s="134" t="s">
        <v>630</v>
      </c>
      <c r="D392" s="136">
        <v>437</v>
      </c>
      <c r="E392" s="134" t="s">
        <v>609</v>
      </c>
    </row>
    <row r="393" spans="1:5" x14ac:dyDescent="0.2">
      <c r="A393" s="134" t="str">
        <f t="shared" si="6"/>
        <v>Tennessee - County Governments</v>
      </c>
      <c r="B393" s="134" t="s">
        <v>215</v>
      </c>
      <c r="C393" s="134" t="s">
        <v>165</v>
      </c>
      <c r="D393" s="136">
        <v>92</v>
      </c>
      <c r="E393" s="134" t="s">
        <v>609</v>
      </c>
    </row>
    <row r="394" spans="1:5" x14ac:dyDescent="0.2">
      <c r="A394" s="134" t="str">
        <f t="shared" si="6"/>
        <v>Tennessee - Subcounty Governments</v>
      </c>
      <c r="B394" s="134" t="s">
        <v>215</v>
      </c>
      <c r="C394" s="134" t="s">
        <v>631</v>
      </c>
      <c r="D394" s="136">
        <v>345</v>
      </c>
      <c r="E394" s="134" t="s">
        <v>609</v>
      </c>
    </row>
    <row r="395" spans="1:5" x14ac:dyDescent="0.2">
      <c r="A395" s="134" t="str">
        <f t="shared" si="6"/>
        <v>Tennessee - Subcounty Governments - Municipal Governments</v>
      </c>
      <c r="B395" s="134" t="s">
        <v>215</v>
      </c>
      <c r="C395" s="134" t="s">
        <v>632</v>
      </c>
      <c r="D395" s="136">
        <v>345</v>
      </c>
      <c r="E395" s="134" t="s">
        <v>609</v>
      </c>
    </row>
    <row r="396" spans="1:5" x14ac:dyDescent="0.2">
      <c r="A396" s="134" t="str">
        <f t="shared" si="6"/>
        <v>Tennessee - Subcounty Governments - Township Governments</v>
      </c>
      <c r="B396" s="134" t="s">
        <v>215</v>
      </c>
      <c r="C396" s="134" t="s">
        <v>633</v>
      </c>
      <c r="D396" s="136">
        <v>0</v>
      </c>
      <c r="E396" s="134" t="s">
        <v>609</v>
      </c>
    </row>
    <row r="397" spans="1:5" x14ac:dyDescent="0.2">
      <c r="A397" s="134" t="str">
        <f t="shared" si="6"/>
        <v>Tennessee - Special Purpose Governments - Special District Governments</v>
      </c>
      <c r="B397" s="134" t="s">
        <v>215</v>
      </c>
      <c r="C397" s="134" t="s">
        <v>634</v>
      </c>
      <c r="D397" s="136">
        <v>455</v>
      </c>
      <c r="E397" s="134" t="s">
        <v>609</v>
      </c>
    </row>
    <row r="398" spans="1:5" x14ac:dyDescent="0.2">
      <c r="A398" s="134" t="str">
        <f t="shared" si="6"/>
        <v>Tennessee - Special Purpose Governments - Independent School District Governments</v>
      </c>
      <c r="B398" s="134" t="s">
        <v>215</v>
      </c>
      <c r="C398" s="134" t="s">
        <v>635</v>
      </c>
      <c r="D398" s="136">
        <v>14</v>
      </c>
      <c r="E398" s="134" t="s">
        <v>609</v>
      </c>
    </row>
    <row r="399" spans="1:5" x14ac:dyDescent="0.2">
      <c r="A399" s="134" t="str">
        <f t="shared" si="6"/>
        <v>Texas - Total Local Government Units</v>
      </c>
      <c r="B399" s="134" t="s">
        <v>216</v>
      </c>
      <c r="C399" s="134" t="s">
        <v>628</v>
      </c>
      <c r="D399" s="136">
        <v>5343</v>
      </c>
      <c r="E399" s="134" t="s">
        <v>609</v>
      </c>
    </row>
    <row r="400" spans="1:5" x14ac:dyDescent="0.2">
      <c r="A400" s="134" t="str">
        <f t="shared" si="6"/>
        <v>Texas - Special Purpose Governments</v>
      </c>
      <c r="B400" s="134" t="s">
        <v>216</v>
      </c>
      <c r="C400" s="134" t="s">
        <v>629</v>
      </c>
      <c r="D400" s="136">
        <v>3871</v>
      </c>
      <c r="E400" s="134" t="s">
        <v>609</v>
      </c>
    </row>
    <row r="401" spans="1:5" x14ac:dyDescent="0.2">
      <c r="A401" s="134" t="str">
        <f t="shared" si="6"/>
        <v>Texas - General Purpose Governments</v>
      </c>
      <c r="B401" s="134" t="s">
        <v>216</v>
      </c>
      <c r="C401" s="134" t="s">
        <v>630</v>
      </c>
      <c r="D401" s="136">
        <v>1472</v>
      </c>
      <c r="E401" s="134" t="s">
        <v>609</v>
      </c>
    </row>
    <row r="402" spans="1:5" x14ac:dyDescent="0.2">
      <c r="A402" s="134" t="str">
        <f t="shared" si="6"/>
        <v>Texas - County Governments</v>
      </c>
      <c r="B402" s="134" t="s">
        <v>216</v>
      </c>
      <c r="C402" s="134" t="s">
        <v>165</v>
      </c>
      <c r="D402" s="136">
        <v>254</v>
      </c>
      <c r="E402" s="134" t="s">
        <v>609</v>
      </c>
    </row>
    <row r="403" spans="1:5" x14ac:dyDescent="0.2">
      <c r="A403" s="134" t="str">
        <f t="shared" si="6"/>
        <v>Texas - Subcounty Governments</v>
      </c>
      <c r="B403" s="134" t="s">
        <v>216</v>
      </c>
      <c r="C403" s="134" t="s">
        <v>631</v>
      </c>
      <c r="D403" s="136">
        <v>1218</v>
      </c>
      <c r="E403" s="134" t="s">
        <v>609</v>
      </c>
    </row>
    <row r="404" spans="1:5" x14ac:dyDescent="0.2">
      <c r="A404" s="134" t="str">
        <f t="shared" si="6"/>
        <v>Texas - Subcounty Governments - Municipal Governments</v>
      </c>
      <c r="B404" s="134" t="s">
        <v>216</v>
      </c>
      <c r="C404" s="134" t="s">
        <v>632</v>
      </c>
      <c r="D404" s="136">
        <v>1218</v>
      </c>
      <c r="E404" s="134" t="s">
        <v>609</v>
      </c>
    </row>
    <row r="405" spans="1:5" x14ac:dyDescent="0.2">
      <c r="A405" s="134" t="str">
        <f t="shared" si="6"/>
        <v>Texas - Subcounty Governments - Township Governments</v>
      </c>
      <c r="B405" s="134" t="s">
        <v>216</v>
      </c>
      <c r="C405" s="134" t="s">
        <v>633</v>
      </c>
      <c r="D405" s="136">
        <v>0</v>
      </c>
      <c r="E405" s="134" t="s">
        <v>609</v>
      </c>
    </row>
    <row r="406" spans="1:5" x14ac:dyDescent="0.2">
      <c r="A406" s="134" t="str">
        <f t="shared" si="6"/>
        <v>Texas - Special Purpose Governments - Special District Governments</v>
      </c>
      <c r="B406" s="134" t="s">
        <v>216</v>
      </c>
      <c r="C406" s="134" t="s">
        <v>634</v>
      </c>
      <c r="D406" s="136">
        <v>2798</v>
      </c>
      <c r="E406" s="134" t="s">
        <v>609</v>
      </c>
    </row>
    <row r="407" spans="1:5" x14ac:dyDescent="0.2">
      <c r="A407" s="134" t="str">
        <f t="shared" si="6"/>
        <v>Texas - Special Purpose Governments - Independent School District Governments</v>
      </c>
      <c r="B407" s="134" t="s">
        <v>216</v>
      </c>
      <c r="C407" s="134" t="s">
        <v>635</v>
      </c>
      <c r="D407" s="136">
        <v>1073</v>
      </c>
      <c r="E407" s="134" t="s">
        <v>609</v>
      </c>
    </row>
    <row r="408" spans="1:5" x14ac:dyDescent="0.2">
      <c r="A408" s="134" t="str">
        <f t="shared" si="6"/>
        <v>Utah - Total Local Government Units</v>
      </c>
      <c r="B408" s="134" t="s">
        <v>217</v>
      </c>
      <c r="C408" s="134" t="s">
        <v>628</v>
      </c>
      <c r="D408" s="136">
        <v>619</v>
      </c>
      <c r="E408" s="134" t="s">
        <v>609</v>
      </c>
    </row>
    <row r="409" spans="1:5" x14ac:dyDescent="0.2">
      <c r="A409" s="134" t="str">
        <f t="shared" si="6"/>
        <v>Utah - Special Purpose Governments</v>
      </c>
      <c r="B409" s="134" t="s">
        <v>217</v>
      </c>
      <c r="C409" s="134" t="s">
        <v>629</v>
      </c>
      <c r="D409" s="136">
        <v>340</v>
      </c>
      <c r="E409" s="134" t="s">
        <v>609</v>
      </c>
    </row>
    <row r="410" spans="1:5" x14ac:dyDescent="0.2">
      <c r="A410" s="134" t="str">
        <f t="shared" si="6"/>
        <v>Utah - General Purpose Governments</v>
      </c>
      <c r="B410" s="134" t="s">
        <v>217</v>
      </c>
      <c r="C410" s="134" t="s">
        <v>630</v>
      </c>
      <c r="D410" s="136">
        <v>279</v>
      </c>
      <c r="E410" s="134" t="s">
        <v>609</v>
      </c>
    </row>
    <row r="411" spans="1:5" x14ac:dyDescent="0.2">
      <c r="A411" s="134" t="str">
        <f t="shared" si="6"/>
        <v>Utah - County Governments</v>
      </c>
      <c r="B411" s="134" t="s">
        <v>217</v>
      </c>
      <c r="C411" s="134" t="s">
        <v>165</v>
      </c>
      <c r="D411" s="136">
        <v>29</v>
      </c>
      <c r="E411" s="134" t="s">
        <v>609</v>
      </c>
    </row>
    <row r="412" spans="1:5" x14ac:dyDescent="0.2">
      <c r="A412" s="134" t="str">
        <f t="shared" si="6"/>
        <v>Utah - Subcounty Governments</v>
      </c>
      <c r="B412" s="134" t="s">
        <v>217</v>
      </c>
      <c r="C412" s="134" t="s">
        <v>631</v>
      </c>
      <c r="D412" s="136">
        <v>250</v>
      </c>
      <c r="E412" s="134" t="s">
        <v>609</v>
      </c>
    </row>
    <row r="413" spans="1:5" x14ac:dyDescent="0.2">
      <c r="A413" s="134" t="str">
        <f t="shared" si="6"/>
        <v>Utah - Subcounty Governments - Municipal Governments</v>
      </c>
      <c r="B413" s="134" t="s">
        <v>217</v>
      </c>
      <c r="C413" s="134" t="s">
        <v>632</v>
      </c>
      <c r="D413" s="136">
        <v>250</v>
      </c>
      <c r="E413" s="134" t="s">
        <v>609</v>
      </c>
    </row>
    <row r="414" spans="1:5" x14ac:dyDescent="0.2">
      <c r="A414" s="134" t="str">
        <f t="shared" si="6"/>
        <v>Utah - Subcounty Governments - Township Governments</v>
      </c>
      <c r="B414" s="134" t="s">
        <v>217</v>
      </c>
      <c r="C414" s="134" t="s">
        <v>633</v>
      </c>
      <c r="D414" s="136">
        <v>0</v>
      </c>
      <c r="E414" s="134" t="s">
        <v>609</v>
      </c>
    </row>
    <row r="415" spans="1:5" x14ac:dyDescent="0.2">
      <c r="A415" s="134" t="str">
        <f t="shared" si="6"/>
        <v>Utah - Special Purpose Governments - Special District Governments</v>
      </c>
      <c r="B415" s="134" t="s">
        <v>217</v>
      </c>
      <c r="C415" s="134" t="s">
        <v>634</v>
      </c>
      <c r="D415" s="136">
        <v>299</v>
      </c>
      <c r="E415" s="134" t="s">
        <v>609</v>
      </c>
    </row>
    <row r="416" spans="1:5" x14ac:dyDescent="0.2">
      <c r="A416" s="134" t="str">
        <f t="shared" si="6"/>
        <v>Utah - Special Purpose Governments - Independent School District Governments</v>
      </c>
      <c r="B416" s="134" t="s">
        <v>217</v>
      </c>
      <c r="C416" s="134" t="s">
        <v>635</v>
      </c>
      <c r="D416" s="136">
        <v>41</v>
      </c>
      <c r="E416" s="134" t="s">
        <v>609</v>
      </c>
    </row>
    <row r="417" spans="1:5" x14ac:dyDescent="0.2">
      <c r="A417" s="134" t="str">
        <f t="shared" si="6"/>
        <v>Vermont - Total Local Government Units</v>
      </c>
      <c r="B417" s="134" t="s">
        <v>218</v>
      </c>
      <c r="C417" s="134" t="s">
        <v>628</v>
      </c>
      <c r="D417" s="136">
        <v>729</v>
      </c>
      <c r="E417" s="134" t="s">
        <v>609</v>
      </c>
    </row>
    <row r="418" spans="1:5" x14ac:dyDescent="0.2">
      <c r="A418" s="134" t="str">
        <f t="shared" si="6"/>
        <v>Vermont - Special Purpose Governments</v>
      </c>
      <c r="B418" s="134" t="s">
        <v>218</v>
      </c>
      <c r="C418" s="134" t="s">
        <v>629</v>
      </c>
      <c r="D418" s="136">
        <v>436</v>
      </c>
      <c r="E418" s="134" t="s">
        <v>609</v>
      </c>
    </row>
    <row r="419" spans="1:5" x14ac:dyDescent="0.2">
      <c r="A419" s="134" t="str">
        <f t="shared" si="6"/>
        <v>Vermont - General Purpose Governments</v>
      </c>
      <c r="B419" s="134" t="s">
        <v>218</v>
      </c>
      <c r="C419" s="134" t="s">
        <v>630</v>
      </c>
      <c r="D419" s="136">
        <v>293</v>
      </c>
      <c r="E419" s="134" t="s">
        <v>609</v>
      </c>
    </row>
    <row r="420" spans="1:5" x14ac:dyDescent="0.2">
      <c r="A420" s="134" t="str">
        <f t="shared" si="6"/>
        <v>Vermont - County Governments</v>
      </c>
      <c r="B420" s="134" t="s">
        <v>218</v>
      </c>
      <c r="C420" s="134" t="s">
        <v>165</v>
      </c>
      <c r="D420" s="136">
        <v>14</v>
      </c>
      <c r="E420" s="134" t="s">
        <v>609</v>
      </c>
    </row>
    <row r="421" spans="1:5" x14ac:dyDescent="0.2">
      <c r="A421" s="134" t="str">
        <f t="shared" si="6"/>
        <v>Vermont - Subcounty Governments</v>
      </c>
      <c r="B421" s="134" t="s">
        <v>218</v>
      </c>
      <c r="C421" s="134" t="s">
        <v>631</v>
      </c>
      <c r="D421" s="136">
        <v>279</v>
      </c>
      <c r="E421" s="134" t="s">
        <v>609</v>
      </c>
    </row>
    <row r="422" spans="1:5" x14ac:dyDescent="0.2">
      <c r="A422" s="134" t="str">
        <f t="shared" si="6"/>
        <v>Vermont - Subcounty Governments - Municipal Governments</v>
      </c>
      <c r="B422" s="134" t="s">
        <v>218</v>
      </c>
      <c r="C422" s="134" t="s">
        <v>632</v>
      </c>
      <c r="D422" s="136">
        <v>42</v>
      </c>
      <c r="E422" s="134" t="s">
        <v>609</v>
      </c>
    </row>
    <row r="423" spans="1:5" x14ac:dyDescent="0.2">
      <c r="A423" s="134" t="str">
        <f t="shared" si="6"/>
        <v>Vermont - Subcounty Governments - Township Governments</v>
      </c>
      <c r="B423" s="134" t="s">
        <v>218</v>
      </c>
      <c r="C423" s="134" t="s">
        <v>633</v>
      </c>
      <c r="D423" s="136">
        <v>237</v>
      </c>
      <c r="E423" s="134" t="s">
        <v>609</v>
      </c>
    </row>
    <row r="424" spans="1:5" x14ac:dyDescent="0.2">
      <c r="A424" s="134" t="str">
        <f t="shared" si="6"/>
        <v>Vermont - Special Purpose Governments - Special District Governments</v>
      </c>
      <c r="B424" s="134" t="s">
        <v>218</v>
      </c>
      <c r="C424" s="134" t="s">
        <v>634</v>
      </c>
      <c r="D424" s="136">
        <v>159</v>
      </c>
      <c r="E424" s="134" t="s">
        <v>609</v>
      </c>
    </row>
    <row r="425" spans="1:5" x14ac:dyDescent="0.2">
      <c r="A425" s="134" t="str">
        <f t="shared" si="6"/>
        <v>Vermont - Special Purpose Governments - Independent School District Governments</v>
      </c>
      <c r="B425" s="134" t="s">
        <v>218</v>
      </c>
      <c r="C425" s="134" t="s">
        <v>635</v>
      </c>
      <c r="D425" s="136">
        <v>277</v>
      </c>
      <c r="E425" s="134" t="s">
        <v>609</v>
      </c>
    </row>
    <row r="426" spans="1:5" x14ac:dyDescent="0.2">
      <c r="A426" s="134" t="str">
        <f t="shared" si="6"/>
        <v>Virginia - Total Local Government Units</v>
      </c>
      <c r="B426" s="134" t="s">
        <v>219</v>
      </c>
      <c r="C426" s="134" t="s">
        <v>628</v>
      </c>
      <c r="D426" s="136">
        <v>517</v>
      </c>
      <c r="E426" s="134" t="s">
        <v>609</v>
      </c>
    </row>
    <row r="427" spans="1:5" x14ac:dyDescent="0.2">
      <c r="A427" s="134" t="str">
        <f t="shared" si="6"/>
        <v>Virginia - Special Purpose Governments</v>
      </c>
      <c r="B427" s="134" t="s">
        <v>219</v>
      </c>
      <c r="C427" s="134" t="s">
        <v>629</v>
      </c>
      <c r="D427" s="136">
        <v>194</v>
      </c>
      <c r="E427" s="134" t="s">
        <v>609</v>
      </c>
    </row>
    <row r="428" spans="1:5" x14ac:dyDescent="0.2">
      <c r="A428" s="134" t="str">
        <f t="shared" si="6"/>
        <v>Virginia - General Purpose Governments</v>
      </c>
      <c r="B428" s="134" t="s">
        <v>219</v>
      </c>
      <c r="C428" s="134" t="s">
        <v>630</v>
      </c>
      <c r="D428" s="136">
        <v>323</v>
      </c>
      <c r="E428" s="134" t="s">
        <v>609</v>
      </c>
    </row>
    <row r="429" spans="1:5" x14ac:dyDescent="0.2">
      <c r="A429" s="134" t="str">
        <f t="shared" si="6"/>
        <v>Virginia - County Governments</v>
      </c>
      <c r="B429" s="134" t="s">
        <v>219</v>
      </c>
      <c r="C429" s="134" t="s">
        <v>165</v>
      </c>
      <c r="D429" s="136">
        <v>95</v>
      </c>
      <c r="E429" s="134" t="s">
        <v>609</v>
      </c>
    </row>
    <row r="430" spans="1:5" x14ac:dyDescent="0.2">
      <c r="A430" s="134" t="str">
        <f t="shared" si="6"/>
        <v>Virginia - Subcounty Governments</v>
      </c>
      <c r="B430" s="134" t="s">
        <v>219</v>
      </c>
      <c r="C430" s="134" t="s">
        <v>631</v>
      </c>
      <c r="D430" s="136">
        <v>228</v>
      </c>
      <c r="E430" s="134" t="s">
        <v>609</v>
      </c>
    </row>
    <row r="431" spans="1:5" x14ac:dyDescent="0.2">
      <c r="A431" s="134" t="str">
        <f t="shared" si="6"/>
        <v>Virginia - Subcounty Governments - Municipal Governments</v>
      </c>
      <c r="B431" s="134" t="s">
        <v>219</v>
      </c>
      <c r="C431" s="134" t="s">
        <v>632</v>
      </c>
      <c r="D431" s="136">
        <v>228</v>
      </c>
      <c r="E431" s="134" t="s">
        <v>609</v>
      </c>
    </row>
    <row r="432" spans="1:5" x14ac:dyDescent="0.2">
      <c r="A432" s="134" t="str">
        <f t="shared" si="6"/>
        <v>Virginia - Subcounty Governments - Township Governments</v>
      </c>
      <c r="B432" s="134" t="s">
        <v>219</v>
      </c>
      <c r="C432" s="134" t="s">
        <v>633</v>
      </c>
      <c r="D432" s="136">
        <v>0</v>
      </c>
      <c r="E432" s="134" t="s">
        <v>609</v>
      </c>
    </row>
    <row r="433" spans="1:5" x14ac:dyDescent="0.2">
      <c r="A433" s="134" t="str">
        <f t="shared" si="6"/>
        <v>Virginia - Special Purpose Governments - Special District Governments</v>
      </c>
      <c r="B433" s="134" t="s">
        <v>219</v>
      </c>
      <c r="C433" s="134" t="s">
        <v>634</v>
      </c>
      <c r="D433" s="136">
        <v>193</v>
      </c>
      <c r="E433" s="134" t="s">
        <v>609</v>
      </c>
    </row>
    <row r="434" spans="1:5" x14ac:dyDescent="0.2">
      <c r="A434" s="134" t="str">
        <f t="shared" si="6"/>
        <v>Virginia - Special Purpose Governments - Independent School District Governments</v>
      </c>
      <c r="B434" s="134" t="s">
        <v>219</v>
      </c>
      <c r="C434" s="134" t="s">
        <v>635</v>
      </c>
      <c r="D434" s="136">
        <v>1</v>
      </c>
      <c r="E434" s="134" t="s">
        <v>609</v>
      </c>
    </row>
    <row r="435" spans="1:5" x14ac:dyDescent="0.2">
      <c r="A435" s="134" t="str">
        <f t="shared" si="6"/>
        <v>Washington - Total Local Government Units</v>
      </c>
      <c r="B435" s="134" t="s">
        <v>220</v>
      </c>
      <c r="C435" s="134" t="s">
        <v>628</v>
      </c>
      <c r="D435" s="136">
        <v>1900</v>
      </c>
      <c r="E435" s="134" t="s">
        <v>609</v>
      </c>
    </row>
    <row r="436" spans="1:5" x14ac:dyDescent="0.2">
      <c r="A436" s="134" t="str">
        <f t="shared" si="6"/>
        <v>Washington - Special Purpose Governments</v>
      </c>
      <c r="B436" s="134" t="s">
        <v>220</v>
      </c>
      <c r="C436" s="134" t="s">
        <v>629</v>
      </c>
      <c r="D436" s="136">
        <v>1580</v>
      </c>
      <c r="E436" s="134" t="s">
        <v>609</v>
      </c>
    </row>
    <row r="437" spans="1:5" x14ac:dyDescent="0.2">
      <c r="A437" s="134" t="str">
        <f t="shared" si="6"/>
        <v>Washington - General Purpose Governments</v>
      </c>
      <c r="B437" s="134" t="s">
        <v>220</v>
      </c>
      <c r="C437" s="134" t="s">
        <v>630</v>
      </c>
      <c r="D437" s="136">
        <v>320</v>
      </c>
      <c r="E437" s="134" t="s">
        <v>609</v>
      </c>
    </row>
    <row r="438" spans="1:5" x14ac:dyDescent="0.2">
      <c r="A438" s="134" t="str">
        <f t="shared" si="6"/>
        <v>Washington - County Governments</v>
      </c>
      <c r="B438" s="134" t="s">
        <v>220</v>
      </c>
      <c r="C438" s="134" t="s">
        <v>165</v>
      </c>
      <c r="D438" s="136">
        <v>39</v>
      </c>
      <c r="E438" s="134" t="s">
        <v>609</v>
      </c>
    </row>
    <row r="439" spans="1:5" x14ac:dyDescent="0.2">
      <c r="A439" s="134" t="str">
        <f t="shared" si="6"/>
        <v>Washington - Subcounty Governments</v>
      </c>
      <c r="B439" s="134" t="s">
        <v>220</v>
      </c>
      <c r="C439" s="134" t="s">
        <v>631</v>
      </c>
      <c r="D439" s="136">
        <v>281</v>
      </c>
      <c r="E439" s="134" t="s">
        <v>609</v>
      </c>
    </row>
    <row r="440" spans="1:5" x14ac:dyDescent="0.2">
      <c r="A440" s="134" t="str">
        <f t="shared" si="6"/>
        <v>Washington - Subcounty Governments - Municipal Governments</v>
      </c>
      <c r="B440" s="134" t="s">
        <v>220</v>
      </c>
      <c r="C440" s="134" t="s">
        <v>632</v>
      </c>
      <c r="D440" s="136">
        <v>281</v>
      </c>
      <c r="E440" s="134" t="s">
        <v>609</v>
      </c>
    </row>
    <row r="441" spans="1:5" x14ac:dyDescent="0.2">
      <c r="A441" s="134" t="str">
        <f t="shared" si="6"/>
        <v>Washington - Subcounty Governments - Township Governments</v>
      </c>
      <c r="B441" s="134" t="s">
        <v>220</v>
      </c>
      <c r="C441" s="134" t="s">
        <v>633</v>
      </c>
      <c r="D441" s="136">
        <v>0</v>
      </c>
      <c r="E441" s="134" t="s">
        <v>609</v>
      </c>
    </row>
    <row r="442" spans="1:5" x14ac:dyDescent="0.2">
      <c r="A442" s="134" t="str">
        <f t="shared" si="6"/>
        <v>Washington - Special Purpose Governments - Special District Governments</v>
      </c>
      <c r="B442" s="134" t="s">
        <v>220</v>
      </c>
      <c r="C442" s="134" t="s">
        <v>634</v>
      </c>
      <c r="D442" s="136">
        <v>1285</v>
      </c>
      <c r="E442" s="134" t="s">
        <v>609</v>
      </c>
    </row>
    <row r="443" spans="1:5" x14ac:dyDescent="0.2">
      <c r="A443" s="134" t="str">
        <f t="shared" si="6"/>
        <v>Washington - Special Purpose Governments - Independent School District Governments</v>
      </c>
      <c r="B443" s="134" t="s">
        <v>220</v>
      </c>
      <c r="C443" s="134" t="s">
        <v>635</v>
      </c>
      <c r="D443" s="136">
        <v>295</v>
      </c>
      <c r="E443" s="134" t="s">
        <v>609</v>
      </c>
    </row>
    <row r="444" spans="1:5" x14ac:dyDescent="0.2">
      <c r="A444" s="134" t="str">
        <f t="shared" si="6"/>
        <v>West Virginia - Total Local Government Units</v>
      </c>
      <c r="B444" s="134" t="s">
        <v>221</v>
      </c>
      <c r="C444" s="134" t="s">
        <v>628</v>
      </c>
      <c r="D444" s="136">
        <v>651</v>
      </c>
      <c r="E444" s="134" t="s">
        <v>609</v>
      </c>
    </row>
    <row r="445" spans="1:5" x14ac:dyDescent="0.2">
      <c r="A445" s="134" t="str">
        <f t="shared" si="6"/>
        <v>West Virginia - Special Purpose Governments</v>
      </c>
      <c r="B445" s="134" t="s">
        <v>221</v>
      </c>
      <c r="C445" s="134" t="s">
        <v>629</v>
      </c>
      <c r="D445" s="136">
        <v>364</v>
      </c>
      <c r="E445" s="134" t="s">
        <v>609</v>
      </c>
    </row>
    <row r="446" spans="1:5" x14ac:dyDescent="0.2">
      <c r="A446" s="134" t="str">
        <f t="shared" si="6"/>
        <v>West Virginia - General Purpose Governments</v>
      </c>
      <c r="B446" s="134" t="s">
        <v>221</v>
      </c>
      <c r="C446" s="134" t="s">
        <v>630</v>
      </c>
      <c r="D446" s="136">
        <v>287</v>
      </c>
      <c r="E446" s="134" t="s">
        <v>609</v>
      </c>
    </row>
    <row r="447" spans="1:5" x14ac:dyDescent="0.2">
      <c r="A447" s="134" t="str">
        <f t="shared" si="6"/>
        <v>West Virginia - County Governments</v>
      </c>
      <c r="B447" s="134" t="s">
        <v>221</v>
      </c>
      <c r="C447" s="134" t="s">
        <v>165</v>
      </c>
      <c r="D447" s="136">
        <v>55</v>
      </c>
      <c r="E447" s="134" t="s">
        <v>609</v>
      </c>
    </row>
    <row r="448" spans="1:5" x14ac:dyDescent="0.2">
      <c r="A448" s="134" t="str">
        <f t="shared" si="6"/>
        <v>West Virginia - Subcounty Governments</v>
      </c>
      <c r="B448" s="134" t="s">
        <v>221</v>
      </c>
      <c r="C448" s="134" t="s">
        <v>631</v>
      </c>
      <c r="D448" s="136">
        <v>232</v>
      </c>
      <c r="E448" s="134" t="s">
        <v>609</v>
      </c>
    </row>
    <row r="449" spans="1:5" x14ac:dyDescent="0.2">
      <c r="A449" s="134" t="str">
        <f t="shared" si="6"/>
        <v>West Virginia - Subcounty Governments - Municipal Governments</v>
      </c>
      <c r="B449" s="134" t="s">
        <v>221</v>
      </c>
      <c r="C449" s="134" t="s">
        <v>632</v>
      </c>
      <c r="D449" s="136">
        <v>232</v>
      </c>
      <c r="E449" s="134" t="s">
        <v>609</v>
      </c>
    </row>
    <row r="450" spans="1:5" x14ac:dyDescent="0.2">
      <c r="A450" s="134" t="str">
        <f t="shared" si="6"/>
        <v>West Virginia - Subcounty Governments - Township Governments</v>
      </c>
      <c r="B450" s="134" t="s">
        <v>221</v>
      </c>
      <c r="C450" s="134" t="s">
        <v>633</v>
      </c>
      <c r="D450" s="136">
        <v>0</v>
      </c>
      <c r="E450" s="134" t="s">
        <v>609</v>
      </c>
    </row>
    <row r="451" spans="1:5" x14ac:dyDescent="0.2">
      <c r="A451" s="134" t="str">
        <f t="shared" si="6"/>
        <v>West Virginia - Special Purpose Governments - Special District Governments</v>
      </c>
      <c r="B451" s="134" t="s">
        <v>221</v>
      </c>
      <c r="C451" s="134" t="s">
        <v>634</v>
      </c>
      <c r="D451" s="136">
        <v>309</v>
      </c>
      <c r="E451" s="134" t="s">
        <v>609</v>
      </c>
    </row>
    <row r="452" spans="1:5" x14ac:dyDescent="0.2">
      <c r="A452" s="134" t="str">
        <f t="shared" ref="A452:A470" si="7">_xlfn.CONCAT(B452," - ",C452)</f>
        <v>West Virginia - Special Purpose Governments - Independent School District Governments</v>
      </c>
      <c r="B452" s="134" t="s">
        <v>221</v>
      </c>
      <c r="C452" s="134" t="s">
        <v>635</v>
      </c>
      <c r="D452" s="136">
        <v>55</v>
      </c>
      <c r="E452" s="134" t="s">
        <v>609</v>
      </c>
    </row>
    <row r="453" spans="1:5" x14ac:dyDescent="0.2">
      <c r="A453" s="134" t="str">
        <f t="shared" si="7"/>
        <v>Wisconsin - Total Local Government Units</v>
      </c>
      <c r="B453" s="134" t="s">
        <v>222</v>
      </c>
      <c r="C453" s="134" t="s">
        <v>628</v>
      </c>
      <c r="D453" s="136">
        <v>3096</v>
      </c>
      <c r="E453" s="134" t="s">
        <v>609</v>
      </c>
    </row>
    <row r="454" spans="1:5" x14ac:dyDescent="0.2">
      <c r="A454" s="134" t="str">
        <f t="shared" si="7"/>
        <v>Wisconsin - Special Purpose Governments</v>
      </c>
      <c r="B454" s="134" t="s">
        <v>222</v>
      </c>
      <c r="C454" s="134" t="s">
        <v>629</v>
      </c>
      <c r="D454" s="136">
        <v>1172</v>
      </c>
      <c r="E454" s="134" t="s">
        <v>609</v>
      </c>
    </row>
    <row r="455" spans="1:5" x14ac:dyDescent="0.2">
      <c r="A455" s="134" t="str">
        <f t="shared" si="7"/>
        <v>Wisconsin - General Purpose Governments</v>
      </c>
      <c r="B455" s="134" t="s">
        <v>222</v>
      </c>
      <c r="C455" s="134" t="s">
        <v>630</v>
      </c>
      <c r="D455" s="136">
        <v>1924</v>
      </c>
      <c r="E455" s="134" t="s">
        <v>609</v>
      </c>
    </row>
    <row r="456" spans="1:5" x14ac:dyDescent="0.2">
      <c r="A456" s="134" t="str">
        <f t="shared" si="7"/>
        <v>Wisconsin - County Governments</v>
      </c>
      <c r="B456" s="134" t="s">
        <v>222</v>
      </c>
      <c r="C456" s="134" t="s">
        <v>165</v>
      </c>
      <c r="D456" s="136">
        <v>72</v>
      </c>
      <c r="E456" s="134" t="s">
        <v>609</v>
      </c>
    </row>
    <row r="457" spans="1:5" x14ac:dyDescent="0.2">
      <c r="A457" s="134" t="str">
        <f t="shared" si="7"/>
        <v>Wisconsin - Subcounty Governments</v>
      </c>
      <c r="B457" s="134" t="s">
        <v>222</v>
      </c>
      <c r="C457" s="134" t="s">
        <v>631</v>
      </c>
      <c r="D457" s="136">
        <v>1852</v>
      </c>
      <c r="E457" s="134" t="s">
        <v>609</v>
      </c>
    </row>
    <row r="458" spans="1:5" x14ac:dyDescent="0.2">
      <c r="A458" s="134" t="str">
        <f t="shared" si="7"/>
        <v>Wisconsin - Subcounty Governments - Municipal Governments</v>
      </c>
      <c r="B458" s="134" t="s">
        <v>222</v>
      </c>
      <c r="C458" s="134" t="s">
        <v>632</v>
      </c>
      <c r="D458" s="136">
        <v>601</v>
      </c>
      <c r="E458" s="134" t="s">
        <v>609</v>
      </c>
    </row>
    <row r="459" spans="1:5" x14ac:dyDescent="0.2">
      <c r="A459" s="134" t="str">
        <f t="shared" si="7"/>
        <v>Wisconsin - Subcounty Governments - Township Governments</v>
      </c>
      <c r="B459" s="134" t="s">
        <v>222</v>
      </c>
      <c r="C459" s="134" t="s">
        <v>633</v>
      </c>
      <c r="D459" s="136">
        <v>1251</v>
      </c>
      <c r="E459" s="134" t="s">
        <v>609</v>
      </c>
    </row>
    <row r="460" spans="1:5" x14ac:dyDescent="0.2">
      <c r="A460" s="134" t="str">
        <f t="shared" si="7"/>
        <v>Wisconsin - Special Purpose Governments - Special District Governments</v>
      </c>
      <c r="B460" s="134" t="s">
        <v>222</v>
      </c>
      <c r="C460" s="134" t="s">
        <v>634</v>
      </c>
      <c r="D460" s="136">
        <v>734</v>
      </c>
      <c r="E460" s="134" t="s">
        <v>609</v>
      </c>
    </row>
    <row r="461" spans="1:5" x14ac:dyDescent="0.2">
      <c r="A461" s="134" t="str">
        <f t="shared" si="7"/>
        <v>Wisconsin - Special Purpose Governments - Independent School District Governments</v>
      </c>
      <c r="B461" s="134" t="s">
        <v>222</v>
      </c>
      <c r="C461" s="134" t="s">
        <v>635</v>
      </c>
      <c r="D461" s="136">
        <v>438</v>
      </c>
      <c r="E461" s="134" t="s">
        <v>609</v>
      </c>
    </row>
    <row r="462" spans="1:5" x14ac:dyDescent="0.2">
      <c r="A462" s="134" t="str">
        <f t="shared" si="7"/>
        <v>Wyoming - Total Local Government Units</v>
      </c>
      <c r="B462" s="134" t="s">
        <v>223</v>
      </c>
      <c r="C462" s="134" t="s">
        <v>628</v>
      </c>
      <c r="D462" s="136">
        <v>794</v>
      </c>
      <c r="E462" s="134" t="s">
        <v>609</v>
      </c>
    </row>
    <row r="463" spans="1:5" x14ac:dyDescent="0.2">
      <c r="A463" s="134" t="str">
        <f t="shared" si="7"/>
        <v>Wyoming - Special Purpose Governments</v>
      </c>
      <c r="B463" s="134" t="s">
        <v>223</v>
      </c>
      <c r="C463" s="134" t="s">
        <v>629</v>
      </c>
      <c r="D463" s="136">
        <v>672</v>
      </c>
      <c r="E463" s="134" t="s">
        <v>609</v>
      </c>
    </row>
    <row r="464" spans="1:5" x14ac:dyDescent="0.2">
      <c r="A464" s="134" t="str">
        <f t="shared" si="7"/>
        <v>Wyoming - General Purpose Governments</v>
      </c>
      <c r="B464" s="134" t="s">
        <v>223</v>
      </c>
      <c r="C464" s="134" t="s">
        <v>630</v>
      </c>
      <c r="D464" s="136">
        <v>122</v>
      </c>
      <c r="E464" s="134" t="s">
        <v>609</v>
      </c>
    </row>
    <row r="465" spans="1:5" x14ac:dyDescent="0.2">
      <c r="A465" s="134" t="str">
        <f t="shared" si="7"/>
        <v>Wyoming - County Governments</v>
      </c>
      <c r="B465" s="134" t="s">
        <v>223</v>
      </c>
      <c r="C465" s="134" t="s">
        <v>165</v>
      </c>
      <c r="D465" s="136">
        <v>23</v>
      </c>
      <c r="E465" s="134" t="s">
        <v>609</v>
      </c>
    </row>
    <row r="466" spans="1:5" x14ac:dyDescent="0.2">
      <c r="A466" s="134" t="str">
        <f t="shared" si="7"/>
        <v>Wyoming - Subcounty Governments</v>
      </c>
      <c r="B466" s="134" t="s">
        <v>223</v>
      </c>
      <c r="C466" s="134" t="s">
        <v>631</v>
      </c>
      <c r="D466" s="136">
        <v>99</v>
      </c>
      <c r="E466" s="134" t="s">
        <v>609</v>
      </c>
    </row>
    <row r="467" spans="1:5" x14ac:dyDescent="0.2">
      <c r="A467" s="134" t="str">
        <f t="shared" si="7"/>
        <v>Wyoming - Subcounty Governments - Municipal Governments</v>
      </c>
      <c r="B467" s="134" t="s">
        <v>223</v>
      </c>
      <c r="C467" s="134" t="s">
        <v>632</v>
      </c>
      <c r="D467" s="136">
        <v>99</v>
      </c>
      <c r="E467" s="134" t="s">
        <v>609</v>
      </c>
    </row>
    <row r="468" spans="1:5" x14ac:dyDescent="0.2">
      <c r="A468" s="134" t="str">
        <f t="shared" si="7"/>
        <v>Wyoming - Subcounty Governments - Township Governments</v>
      </c>
      <c r="B468" s="134" t="s">
        <v>223</v>
      </c>
      <c r="C468" s="134" t="s">
        <v>633</v>
      </c>
      <c r="D468" s="136">
        <v>0</v>
      </c>
      <c r="E468" s="134" t="s">
        <v>609</v>
      </c>
    </row>
    <row r="469" spans="1:5" x14ac:dyDescent="0.2">
      <c r="A469" s="134" t="str">
        <f t="shared" si="7"/>
        <v>Wyoming - Special Purpose Governments - Special District Governments</v>
      </c>
      <c r="B469" s="134" t="s">
        <v>223</v>
      </c>
      <c r="C469" s="134" t="s">
        <v>634</v>
      </c>
      <c r="D469" s="136">
        <v>617</v>
      </c>
      <c r="E469" s="134" t="s">
        <v>609</v>
      </c>
    </row>
    <row r="470" spans="1:5" x14ac:dyDescent="0.2">
      <c r="A470" s="134" t="str">
        <f t="shared" si="7"/>
        <v>Wyoming - Special Purpose Governments - Independent School District Governments</v>
      </c>
      <c r="B470" s="134" t="s">
        <v>223</v>
      </c>
      <c r="C470" s="134" t="s">
        <v>635</v>
      </c>
      <c r="D470" s="136">
        <v>55</v>
      </c>
      <c r="E470" s="134" t="s">
        <v>609</v>
      </c>
    </row>
  </sheetData>
  <pageMargins left="0.7" right="0.7" top="0.75" bottom="0.75" header="0.3" footer="0.3"/>
  <pageSetup scale="68" orientation="portrait" horizontalDpi="4294967293"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5770D-22FA-438B-8F5A-88CD67452EA9}">
  <sheetPr>
    <tabColor theme="5" tint="0.39997558519241921"/>
  </sheetPr>
  <dimension ref="A1:I72"/>
  <sheetViews>
    <sheetView view="pageBreakPreview" topLeftCell="A3" zoomScale="145" zoomScaleNormal="130" zoomScaleSheetLayoutView="145" workbookViewId="0">
      <selection activeCell="G24" sqref="G24"/>
    </sheetView>
  </sheetViews>
  <sheetFormatPr defaultColWidth="9.140625" defaultRowHeight="12" outlineLevelRow="1" x14ac:dyDescent="0.2"/>
  <cols>
    <col min="1" max="1" width="23.140625" style="134" customWidth="1"/>
    <col min="2" max="2" width="10.42578125" style="134" bestFit="1" customWidth="1"/>
    <col min="3" max="3" width="4.42578125" style="134" bestFit="1" customWidth="1"/>
    <col min="4" max="4" width="21.5703125" style="134" bestFit="1" customWidth="1"/>
    <col min="5" max="5" width="9.28515625" style="134" bestFit="1" customWidth="1"/>
    <col min="6" max="6" width="16" style="134" bestFit="1" customWidth="1"/>
    <col min="7" max="7" width="9.28515625" style="134" bestFit="1" customWidth="1"/>
    <col min="8" max="8" width="15" style="134" customWidth="1"/>
    <col min="9" max="9" width="17.140625" style="134" customWidth="1"/>
    <col min="10" max="10" width="9.140625" style="134"/>
    <col min="11" max="11" width="9.28515625" style="134" bestFit="1" customWidth="1"/>
    <col min="12" max="16384" width="9.140625" style="134"/>
  </cols>
  <sheetData>
    <row r="1" spans="1:9" hidden="1" outlineLevel="1" x14ac:dyDescent="0.2">
      <c r="A1" s="134">
        <v>1</v>
      </c>
      <c r="B1" s="134">
        <f>A1+1</f>
        <v>2</v>
      </c>
      <c r="C1" s="134">
        <f t="shared" ref="C1:I1" si="0">B1+1</f>
        <v>3</v>
      </c>
      <c r="D1" s="134">
        <f t="shared" si="0"/>
        <v>4</v>
      </c>
      <c r="E1" s="134">
        <f t="shared" si="0"/>
        <v>5</v>
      </c>
      <c r="F1" s="134">
        <f t="shared" si="0"/>
        <v>6</v>
      </c>
      <c r="G1" s="134">
        <f t="shared" si="0"/>
        <v>7</v>
      </c>
      <c r="H1" s="134">
        <f t="shared" si="0"/>
        <v>8</v>
      </c>
      <c r="I1" s="134">
        <f t="shared" si="0"/>
        <v>9</v>
      </c>
    </row>
    <row r="2" spans="1:9" hidden="1" outlineLevel="1" x14ac:dyDescent="0.2"/>
    <row r="3" spans="1:9" collapsed="1" x14ac:dyDescent="0.2">
      <c r="A3" s="133" t="s">
        <v>636</v>
      </c>
    </row>
    <row r="5" spans="1:9" ht="36" x14ac:dyDescent="0.2">
      <c r="A5" s="166" t="s">
        <v>83</v>
      </c>
      <c r="B5" s="166" t="s">
        <v>637</v>
      </c>
      <c r="C5" s="166" t="s">
        <v>638</v>
      </c>
      <c r="D5" s="166" t="s">
        <v>639</v>
      </c>
      <c r="E5" s="166" t="s">
        <v>640</v>
      </c>
      <c r="F5" s="166" t="s">
        <v>641</v>
      </c>
      <c r="G5" s="166" t="s">
        <v>642</v>
      </c>
      <c r="H5" s="166" t="s">
        <v>160</v>
      </c>
      <c r="I5" s="166" t="s">
        <v>643</v>
      </c>
    </row>
    <row r="6" spans="1:9" x14ac:dyDescent="0.2">
      <c r="A6" s="134" t="s">
        <v>173</v>
      </c>
      <c r="B6" s="134" t="s">
        <v>644</v>
      </c>
      <c r="C6" s="134">
        <v>2015</v>
      </c>
      <c r="D6" s="170">
        <v>3132542605</v>
      </c>
      <c r="E6" s="134">
        <v>0.4</v>
      </c>
      <c r="F6" s="170">
        <v>229406215</v>
      </c>
      <c r="G6" s="134">
        <v>0.4</v>
      </c>
      <c r="H6" s="134">
        <v>963</v>
      </c>
      <c r="I6" s="134">
        <v>1.1000000000000001</v>
      </c>
    </row>
    <row r="7" spans="1:9" x14ac:dyDescent="0.2">
      <c r="A7" s="134" t="s">
        <v>174</v>
      </c>
      <c r="B7" s="134" t="s">
        <v>645</v>
      </c>
      <c r="C7" s="134">
        <v>2015</v>
      </c>
      <c r="D7" s="170">
        <v>1048508349</v>
      </c>
      <c r="E7" s="134">
        <v>0.1</v>
      </c>
      <c r="F7" s="170">
        <v>42426591</v>
      </c>
      <c r="G7" s="134">
        <v>0.1</v>
      </c>
      <c r="H7" s="134">
        <v>85</v>
      </c>
      <c r="I7" s="134">
        <v>0.1</v>
      </c>
    </row>
    <row r="8" spans="1:9" x14ac:dyDescent="0.2">
      <c r="A8" s="134" t="s">
        <v>175</v>
      </c>
      <c r="B8" s="134" t="s">
        <v>646</v>
      </c>
      <c r="C8" s="134">
        <v>2015</v>
      </c>
      <c r="D8" s="170">
        <v>5397864427</v>
      </c>
      <c r="E8" s="134">
        <v>0.6</v>
      </c>
      <c r="F8" s="170">
        <v>344965290</v>
      </c>
      <c r="G8" s="134">
        <v>0.5</v>
      </c>
      <c r="H8" s="134">
        <v>834</v>
      </c>
      <c r="I8" s="134">
        <v>1</v>
      </c>
    </row>
    <row r="9" spans="1:9" x14ac:dyDescent="0.2">
      <c r="A9" s="134" t="s">
        <v>176</v>
      </c>
      <c r="B9" s="134" t="s">
        <v>647</v>
      </c>
      <c r="C9" s="134">
        <v>2015</v>
      </c>
      <c r="D9" s="170">
        <v>5286112856</v>
      </c>
      <c r="E9" s="134">
        <v>0.6</v>
      </c>
      <c r="F9" s="170">
        <v>721774468</v>
      </c>
      <c r="G9" s="134">
        <v>1.1000000000000001</v>
      </c>
      <c r="H9" s="134">
        <v>328</v>
      </c>
      <c r="I9" s="134">
        <v>0.4</v>
      </c>
    </row>
    <row r="10" spans="1:9" x14ac:dyDescent="0.2">
      <c r="A10" s="134" t="s">
        <v>177</v>
      </c>
      <c r="B10" s="134" t="s">
        <v>648</v>
      </c>
      <c r="C10" s="134">
        <v>2015</v>
      </c>
      <c r="D10" s="170">
        <v>133281787238</v>
      </c>
      <c r="E10" s="134">
        <v>15.4</v>
      </c>
      <c r="F10" s="170">
        <v>8372783639</v>
      </c>
      <c r="G10" s="134">
        <v>13.3</v>
      </c>
      <c r="H10" s="134">
        <v>7650</v>
      </c>
      <c r="I10" s="134">
        <v>8.9</v>
      </c>
    </row>
    <row r="11" spans="1:9" x14ac:dyDescent="0.2">
      <c r="A11" s="134" t="s">
        <v>178</v>
      </c>
      <c r="B11" s="134" t="s">
        <v>649</v>
      </c>
      <c r="C11" s="134">
        <v>2015</v>
      </c>
      <c r="D11" s="170">
        <v>11735955635</v>
      </c>
      <c r="E11" s="134">
        <v>1.4</v>
      </c>
      <c r="F11" s="170">
        <v>834294096</v>
      </c>
      <c r="G11" s="134">
        <v>1.3</v>
      </c>
      <c r="H11" s="134">
        <v>1349</v>
      </c>
      <c r="I11" s="134">
        <v>1.6</v>
      </c>
    </row>
    <row r="12" spans="1:9" x14ac:dyDescent="0.2">
      <c r="A12" s="134" t="s">
        <v>179</v>
      </c>
      <c r="B12" s="134" t="s">
        <v>650</v>
      </c>
      <c r="C12" s="134">
        <v>2015</v>
      </c>
      <c r="D12" s="170">
        <v>11707411925</v>
      </c>
      <c r="E12" s="134">
        <v>1.3</v>
      </c>
      <c r="F12" s="170">
        <v>900843697</v>
      </c>
      <c r="G12" s="134">
        <v>1.4</v>
      </c>
      <c r="H12" s="134">
        <v>1591</v>
      </c>
      <c r="I12" s="134">
        <v>1.8</v>
      </c>
    </row>
    <row r="13" spans="1:9" x14ac:dyDescent="0.2">
      <c r="A13" s="134" t="s">
        <v>180</v>
      </c>
      <c r="B13" s="134" t="s">
        <v>651</v>
      </c>
      <c r="C13" s="134">
        <v>2015</v>
      </c>
      <c r="D13" s="170">
        <v>10445589387</v>
      </c>
      <c r="E13" s="134">
        <v>1.2</v>
      </c>
      <c r="F13" s="170">
        <v>865625755</v>
      </c>
      <c r="G13" s="134">
        <v>1.4</v>
      </c>
      <c r="H13" s="134">
        <v>1287</v>
      </c>
      <c r="I13" s="134">
        <v>1.5</v>
      </c>
    </row>
    <row r="14" spans="1:9" x14ac:dyDescent="0.2">
      <c r="A14" s="134" t="s">
        <v>181</v>
      </c>
      <c r="B14" s="134" t="s">
        <v>652</v>
      </c>
      <c r="C14" s="134">
        <v>2015</v>
      </c>
      <c r="D14" s="170">
        <v>9714611213</v>
      </c>
      <c r="E14" s="134">
        <v>1.1000000000000001</v>
      </c>
      <c r="F14" s="170">
        <v>453614711</v>
      </c>
      <c r="G14" s="134">
        <v>0.7</v>
      </c>
      <c r="H14" s="134">
        <v>387</v>
      </c>
      <c r="I14" s="134">
        <v>0.4</v>
      </c>
    </row>
    <row r="15" spans="1:9" x14ac:dyDescent="0.2">
      <c r="A15" s="134" t="s">
        <v>182</v>
      </c>
      <c r="B15" s="134" t="s">
        <v>653</v>
      </c>
      <c r="C15" s="134">
        <v>2015</v>
      </c>
      <c r="D15" s="170">
        <v>25581258784</v>
      </c>
      <c r="E15" s="134">
        <v>2.9</v>
      </c>
      <c r="F15" s="170">
        <v>1751976917</v>
      </c>
      <c r="G15" s="134">
        <v>2.8</v>
      </c>
      <c r="H15" s="134">
        <v>5266</v>
      </c>
      <c r="I15" s="134">
        <v>6.1</v>
      </c>
    </row>
    <row r="16" spans="1:9" x14ac:dyDescent="0.2">
      <c r="A16" s="134" t="s">
        <v>183</v>
      </c>
      <c r="B16" s="134" t="s">
        <v>654</v>
      </c>
      <c r="C16" s="134">
        <v>2015</v>
      </c>
      <c r="D16" s="170">
        <v>16827500173</v>
      </c>
      <c r="E16" s="134">
        <v>1.9</v>
      </c>
      <c r="F16" s="170">
        <v>1191092441</v>
      </c>
      <c r="G16" s="134">
        <v>1.9</v>
      </c>
      <c r="H16" s="134">
        <v>1488</v>
      </c>
      <c r="I16" s="134">
        <v>1.7</v>
      </c>
    </row>
    <row r="17" spans="1:9" x14ac:dyDescent="0.2">
      <c r="A17" s="134" t="s">
        <v>184</v>
      </c>
      <c r="B17" s="134" t="s">
        <v>655</v>
      </c>
      <c r="C17" s="134">
        <v>2015</v>
      </c>
      <c r="D17" s="170">
        <v>2061077501</v>
      </c>
      <c r="E17" s="134">
        <v>0.2</v>
      </c>
      <c r="F17" s="170">
        <v>109213958</v>
      </c>
      <c r="G17" s="134">
        <v>0.2</v>
      </c>
      <c r="H17" s="134">
        <v>357</v>
      </c>
      <c r="I17" s="134">
        <v>0.4</v>
      </c>
    </row>
    <row r="18" spans="1:9" x14ac:dyDescent="0.2">
      <c r="A18" s="134" t="s">
        <v>185</v>
      </c>
      <c r="B18" s="134" t="s">
        <v>656</v>
      </c>
      <c r="C18" s="134">
        <v>2015</v>
      </c>
      <c r="D18" s="170">
        <v>1818467421</v>
      </c>
      <c r="E18" s="134">
        <v>0.2</v>
      </c>
      <c r="F18" s="170">
        <v>86593975</v>
      </c>
      <c r="G18" s="134">
        <v>0.1</v>
      </c>
      <c r="H18" s="134">
        <v>241</v>
      </c>
      <c r="I18" s="134">
        <v>0.3</v>
      </c>
    </row>
    <row r="19" spans="1:9" x14ac:dyDescent="0.2">
      <c r="A19" s="134" t="s">
        <v>186</v>
      </c>
      <c r="B19" s="134" t="s">
        <v>657</v>
      </c>
      <c r="C19" s="134">
        <v>2015</v>
      </c>
      <c r="D19" s="170">
        <v>39032827259</v>
      </c>
      <c r="E19" s="134">
        <v>4.5</v>
      </c>
      <c r="F19" s="170">
        <v>3610445653</v>
      </c>
      <c r="G19" s="134">
        <v>5.7</v>
      </c>
      <c r="H19" s="134">
        <v>5317</v>
      </c>
      <c r="I19" s="134">
        <v>6.2</v>
      </c>
    </row>
    <row r="20" spans="1:9" x14ac:dyDescent="0.2">
      <c r="A20" s="134" t="s">
        <v>187</v>
      </c>
      <c r="B20" s="134" t="s">
        <v>658</v>
      </c>
      <c r="C20" s="134">
        <v>2015</v>
      </c>
      <c r="D20" s="170">
        <v>22462185900</v>
      </c>
      <c r="E20" s="134">
        <v>2.6</v>
      </c>
      <c r="F20" s="170">
        <v>1483101186</v>
      </c>
      <c r="G20" s="134">
        <v>2.4</v>
      </c>
      <c r="H20" s="134">
        <v>1194</v>
      </c>
      <c r="I20" s="134">
        <v>1.4</v>
      </c>
    </row>
    <row r="21" spans="1:9" x14ac:dyDescent="0.2">
      <c r="A21" s="134" t="s">
        <v>188</v>
      </c>
      <c r="B21" s="134" t="s">
        <v>659</v>
      </c>
      <c r="C21" s="134">
        <v>2015</v>
      </c>
      <c r="D21" s="170">
        <v>3855550561</v>
      </c>
      <c r="E21" s="134">
        <v>0.4</v>
      </c>
      <c r="F21" s="170">
        <v>230666534</v>
      </c>
      <c r="G21" s="134">
        <v>0.4</v>
      </c>
      <c r="H21" s="134">
        <v>866</v>
      </c>
      <c r="I21" s="134">
        <v>1</v>
      </c>
    </row>
    <row r="22" spans="1:9" x14ac:dyDescent="0.2">
      <c r="A22" s="134" t="s">
        <v>189</v>
      </c>
      <c r="B22" s="134" t="s">
        <v>660</v>
      </c>
      <c r="C22" s="134">
        <v>2015</v>
      </c>
      <c r="D22" s="170">
        <v>3697154734</v>
      </c>
      <c r="E22" s="134">
        <v>0.4</v>
      </c>
      <c r="F22" s="170">
        <v>215721644</v>
      </c>
      <c r="G22" s="134">
        <v>0.3</v>
      </c>
      <c r="H22" s="134">
        <v>775</v>
      </c>
      <c r="I22" s="134">
        <v>0.9</v>
      </c>
    </row>
    <row r="23" spans="1:9" x14ac:dyDescent="0.2">
      <c r="A23" s="134" t="s">
        <v>190</v>
      </c>
      <c r="B23" s="134" t="s">
        <v>661</v>
      </c>
      <c r="C23" s="134">
        <v>2015</v>
      </c>
      <c r="D23" s="170">
        <v>3237361928</v>
      </c>
      <c r="E23" s="134">
        <v>0.4</v>
      </c>
      <c r="F23" s="170">
        <v>185116421</v>
      </c>
      <c r="G23" s="134">
        <v>0.3</v>
      </c>
      <c r="H23" s="134">
        <v>543</v>
      </c>
      <c r="I23" s="134">
        <v>0.6</v>
      </c>
    </row>
    <row r="24" spans="1:9" x14ac:dyDescent="0.2">
      <c r="A24" s="134" t="s">
        <v>191</v>
      </c>
      <c r="B24" s="134" t="s">
        <v>662</v>
      </c>
      <c r="C24" s="134">
        <v>2015</v>
      </c>
      <c r="D24" s="170">
        <v>3911529843</v>
      </c>
      <c r="E24" s="134">
        <v>0.5</v>
      </c>
      <c r="F24" s="170">
        <v>237237316</v>
      </c>
      <c r="G24" s="134">
        <v>0.4</v>
      </c>
      <c r="H24" s="134">
        <v>516</v>
      </c>
      <c r="I24" s="134">
        <v>0.6</v>
      </c>
    </row>
    <row r="25" spans="1:9" x14ac:dyDescent="0.2">
      <c r="A25" s="134" t="s">
        <v>192</v>
      </c>
      <c r="B25" s="134" t="s">
        <v>663</v>
      </c>
      <c r="C25" s="134">
        <v>2015</v>
      </c>
      <c r="D25" s="170">
        <v>2900606191</v>
      </c>
      <c r="E25" s="134">
        <v>0.3</v>
      </c>
      <c r="F25" s="170">
        <v>159795511</v>
      </c>
      <c r="G25" s="134">
        <v>0.3</v>
      </c>
      <c r="H25" s="134">
        <v>363</v>
      </c>
      <c r="I25" s="134">
        <v>0.4</v>
      </c>
    </row>
    <row r="26" spans="1:9" x14ac:dyDescent="0.2">
      <c r="A26" s="134" t="s">
        <v>193</v>
      </c>
      <c r="B26" s="134" t="s">
        <v>664</v>
      </c>
      <c r="C26" s="134">
        <v>2015</v>
      </c>
      <c r="D26" s="170">
        <v>17288455807</v>
      </c>
      <c r="E26" s="134">
        <v>2</v>
      </c>
      <c r="F26" s="170">
        <v>887897207</v>
      </c>
      <c r="G26" s="134">
        <v>1.4</v>
      </c>
      <c r="H26" s="134">
        <v>1433</v>
      </c>
      <c r="I26" s="134">
        <v>1.7</v>
      </c>
    </row>
    <row r="27" spans="1:9" x14ac:dyDescent="0.2">
      <c r="A27" s="134" t="s">
        <v>194</v>
      </c>
      <c r="B27" s="134" t="s">
        <v>665</v>
      </c>
      <c r="C27" s="134">
        <v>2015</v>
      </c>
      <c r="D27" s="170">
        <v>23725981843</v>
      </c>
      <c r="E27" s="134">
        <v>2.7</v>
      </c>
      <c r="F27" s="170">
        <v>1674862137</v>
      </c>
      <c r="G27" s="134">
        <v>2.7</v>
      </c>
      <c r="H27" s="134">
        <v>3008</v>
      </c>
      <c r="I27" s="134">
        <v>3.5</v>
      </c>
    </row>
    <row r="28" spans="1:9" x14ac:dyDescent="0.2">
      <c r="A28" s="134" t="s">
        <v>195</v>
      </c>
      <c r="B28" s="134" t="s">
        <v>666</v>
      </c>
      <c r="C28" s="134">
        <v>2015</v>
      </c>
      <c r="D28" s="170">
        <v>31187432087</v>
      </c>
      <c r="E28" s="134">
        <v>3.6</v>
      </c>
      <c r="F28" s="170">
        <v>1663756427</v>
      </c>
      <c r="G28" s="134">
        <v>2.6</v>
      </c>
      <c r="H28" s="134">
        <v>2181</v>
      </c>
      <c r="I28" s="134">
        <v>2.5</v>
      </c>
    </row>
    <row r="29" spans="1:9" x14ac:dyDescent="0.2">
      <c r="A29" s="134" t="s">
        <v>196</v>
      </c>
      <c r="B29" s="134" t="s">
        <v>667</v>
      </c>
      <c r="C29" s="134">
        <v>2015</v>
      </c>
      <c r="D29" s="170">
        <v>18611796298</v>
      </c>
      <c r="E29" s="134">
        <v>2.1</v>
      </c>
      <c r="F29" s="170">
        <v>1343337650</v>
      </c>
      <c r="G29" s="134">
        <v>2.1</v>
      </c>
      <c r="H29" s="134">
        <v>1481</v>
      </c>
      <c r="I29" s="134">
        <v>1.7</v>
      </c>
    </row>
    <row r="30" spans="1:9" x14ac:dyDescent="0.2">
      <c r="A30" s="134" t="s">
        <v>197</v>
      </c>
      <c r="B30" s="134" t="s">
        <v>668</v>
      </c>
      <c r="C30" s="134">
        <v>2015</v>
      </c>
      <c r="D30" s="170">
        <v>1443082457</v>
      </c>
      <c r="E30" s="134">
        <v>0.2</v>
      </c>
      <c r="F30" s="170">
        <v>96286772</v>
      </c>
      <c r="G30" s="134">
        <v>0.2</v>
      </c>
      <c r="H30" s="134">
        <v>243</v>
      </c>
      <c r="I30" s="134">
        <v>0.3</v>
      </c>
    </row>
    <row r="31" spans="1:9" x14ac:dyDescent="0.2">
      <c r="A31" s="134" t="s">
        <v>198</v>
      </c>
      <c r="B31" s="134" t="s">
        <v>669</v>
      </c>
      <c r="C31" s="134">
        <v>2015</v>
      </c>
      <c r="D31" s="170">
        <v>13762831548</v>
      </c>
      <c r="E31" s="134">
        <v>1.6</v>
      </c>
      <c r="F31" s="170">
        <v>1110991342</v>
      </c>
      <c r="G31" s="134">
        <v>1.8</v>
      </c>
      <c r="H31" s="134">
        <v>1426</v>
      </c>
      <c r="I31" s="134">
        <v>1.7</v>
      </c>
    </row>
    <row r="32" spans="1:9" x14ac:dyDescent="0.2">
      <c r="A32" s="134" t="s">
        <v>199</v>
      </c>
      <c r="B32" s="134" t="s">
        <v>670</v>
      </c>
      <c r="C32" s="134">
        <v>2015</v>
      </c>
      <c r="D32" s="170">
        <v>1651715109</v>
      </c>
      <c r="E32" s="134">
        <v>0.2</v>
      </c>
      <c r="F32" s="170">
        <v>80508508</v>
      </c>
      <c r="G32" s="134">
        <v>0.1</v>
      </c>
      <c r="H32" s="134">
        <v>283</v>
      </c>
      <c r="I32" s="134">
        <v>0.3</v>
      </c>
    </row>
    <row r="33" spans="1:9" x14ac:dyDescent="0.2">
      <c r="A33" s="134" t="s">
        <v>200</v>
      </c>
      <c r="B33" s="134" t="s">
        <v>671</v>
      </c>
      <c r="C33" s="134">
        <v>2015</v>
      </c>
      <c r="D33" s="170">
        <v>8071136635</v>
      </c>
      <c r="E33" s="134">
        <v>0.9</v>
      </c>
      <c r="F33" s="170">
        <v>1043355636</v>
      </c>
      <c r="G33" s="134">
        <v>1.7</v>
      </c>
      <c r="H33" s="134">
        <v>598</v>
      </c>
      <c r="I33" s="134">
        <v>0.7</v>
      </c>
    </row>
    <row r="34" spans="1:9" x14ac:dyDescent="0.2">
      <c r="A34" s="134" t="s">
        <v>201</v>
      </c>
      <c r="B34" s="134" t="s">
        <v>672</v>
      </c>
      <c r="C34" s="134">
        <v>2015</v>
      </c>
      <c r="D34" s="170">
        <v>4279630463</v>
      </c>
      <c r="E34" s="134">
        <v>0.5</v>
      </c>
      <c r="F34" s="170">
        <v>360845841</v>
      </c>
      <c r="G34" s="134">
        <v>0.6</v>
      </c>
      <c r="H34" s="134">
        <v>509</v>
      </c>
      <c r="I34" s="134">
        <v>0.6</v>
      </c>
    </row>
    <row r="35" spans="1:9" x14ac:dyDescent="0.2">
      <c r="A35" s="134" t="s">
        <v>202</v>
      </c>
      <c r="B35" s="134" t="s">
        <v>673</v>
      </c>
      <c r="C35" s="134">
        <v>2015</v>
      </c>
      <c r="D35" s="170">
        <v>2412957649</v>
      </c>
      <c r="E35" s="134">
        <v>0.3</v>
      </c>
      <c r="F35" s="170">
        <v>170839121</v>
      </c>
      <c r="G35" s="134">
        <v>0.3</v>
      </c>
      <c r="H35" s="134">
        <v>445</v>
      </c>
      <c r="I35" s="134">
        <v>0.5</v>
      </c>
    </row>
    <row r="36" spans="1:9" x14ac:dyDescent="0.2">
      <c r="A36" s="134" t="s">
        <v>203</v>
      </c>
      <c r="B36" s="134" t="s">
        <v>674</v>
      </c>
      <c r="C36" s="134">
        <v>2015</v>
      </c>
      <c r="D36" s="170">
        <v>24342626125</v>
      </c>
      <c r="E36" s="134">
        <v>2.8</v>
      </c>
      <c r="F36" s="170">
        <v>4130119172</v>
      </c>
      <c r="G36" s="134">
        <v>6.6</v>
      </c>
      <c r="H36" s="134">
        <v>2826</v>
      </c>
      <c r="I36" s="134">
        <v>3.3</v>
      </c>
    </row>
    <row r="37" spans="1:9" x14ac:dyDescent="0.2">
      <c r="A37" s="134" t="s">
        <v>204</v>
      </c>
      <c r="B37" s="134" t="s">
        <v>675</v>
      </c>
      <c r="C37" s="134">
        <v>2015</v>
      </c>
      <c r="D37" s="170">
        <v>1676033192</v>
      </c>
      <c r="E37" s="134">
        <v>0.2</v>
      </c>
      <c r="F37" s="170">
        <v>82529996</v>
      </c>
      <c r="G37" s="134">
        <v>0.1</v>
      </c>
      <c r="H37" s="134">
        <v>277</v>
      </c>
      <c r="I37" s="134">
        <v>0.3</v>
      </c>
    </row>
    <row r="38" spans="1:9" x14ac:dyDescent="0.2">
      <c r="A38" s="134" t="s">
        <v>205</v>
      </c>
      <c r="B38" s="134" t="s">
        <v>676</v>
      </c>
      <c r="C38" s="134">
        <v>2015</v>
      </c>
      <c r="D38" s="170">
        <v>151125413759</v>
      </c>
      <c r="E38" s="134">
        <v>17.399999999999999</v>
      </c>
      <c r="F38" s="170">
        <v>10490751818</v>
      </c>
      <c r="G38" s="134">
        <v>16.7</v>
      </c>
      <c r="H38" s="134">
        <v>9639</v>
      </c>
      <c r="I38" s="134">
        <v>11.2</v>
      </c>
    </row>
    <row r="39" spans="1:9" x14ac:dyDescent="0.2">
      <c r="A39" s="134" t="s">
        <v>206</v>
      </c>
      <c r="B39" s="134" t="s">
        <v>677</v>
      </c>
      <c r="C39" s="134">
        <v>2015</v>
      </c>
      <c r="D39" s="170">
        <v>19131877674</v>
      </c>
      <c r="E39" s="134">
        <v>2.2000000000000002</v>
      </c>
      <c r="F39" s="170">
        <v>1415232576</v>
      </c>
      <c r="G39" s="134">
        <v>2.2999999999999998</v>
      </c>
      <c r="H39" s="134">
        <v>3456</v>
      </c>
      <c r="I39" s="134">
        <v>4</v>
      </c>
    </row>
    <row r="40" spans="1:9" x14ac:dyDescent="0.2">
      <c r="A40" s="134" t="s">
        <v>207</v>
      </c>
      <c r="B40" s="134" t="s">
        <v>678</v>
      </c>
      <c r="C40" s="134">
        <v>2015</v>
      </c>
      <c r="D40" s="170">
        <v>404224407</v>
      </c>
      <c r="E40" s="134">
        <v>0</v>
      </c>
      <c r="F40" s="170">
        <v>22904979</v>
      </c>
      <c r="G40" s="134">
        <v>0</v>
      </c>
      <c r="H40" s="134">
        <v>90</v>
      </c>
      <c r="I40" s="134">
        <v>0.1</v>
      </c>
    </row>
    <row r="41" spans="1:9" x14ac:dyDescent="0.2">
      <c r="A41" s="134" t="s">
        <v>208</v>
      </c>
      <c r="B41" s="134" t="s">
        <v>679</v>
      </c>
      <c r="C41" s="134">
        <v>2015</v>
      </c>
      <c r="D41" s="170">
        <v>23385932231</v>
      </c>
      <c r="E41" s="134">
        <v>2.7</v>
      </c>
      <c r="F41" s="170">
        <v>1672835323</v>
      </c>
      <c r="G41" s="134">
        <v>2.7</v>
      </c>
      <c r="H41" s="134">
        <v>3626</v>
      </c>
      <c r="I41" s="134">
        <v>4.2</v>
      </c>
    </row>
    <row r="42" spans="1:9" x14ac:dyDescent="0.2">
      <c r="A42" s="134" t="s">
        <v>209</v>
      </c>
      <c r="B42" s="134" t="s">
        <v>680</v>
      </c>
      <c r="C42" s="134">
        <v>2015</v>
      </c>
      <c r="D42" s="170">
        <v>15119018224</v>
      </c>
      <c r="E42" s="134">
        <v>1.7</v>
      </c>
      <c r="F42" s="170">
        <v>738122169</v>
      </c>
      <c r="G42" s="134">
        <v>1.2</v>
      </c>
      <c r="H42" s="134">
        <v>792</v>
      </c>
      <c r="I42" s="134">
        <v>0.9</v>
      </c>
    </row>
    <row r="43" spans="1:9" x14ac:dyDescent="0.2">
      <c r="A43" s="134" t="s">
        <v>210</v>
      </c>
      <c r="B43" s="134" t="s">
        <v>681</v>
      </c>
      <c r="C43" s="134">
        <v>2015</v>
      </c>
      <c r="D43" s="170">
        <v>7164494541</v>
      </c>
      <c r="E43" s="134">
        <v>0.8</v>
      </c>
      <c r="F43" s="170">
        <v>399847794</v>
      </c>
      <c r="G43" s="134">
        <v>0.6</v>
      </c>
      <c r="H43" s="134">
        <v>867</v>
      </c>
      <c r="I43" s="134">
        <v>1</v>
      </c>
    </row>
    <row r="44" spans="1:9" x14ac:dyDescent="0.2">
      <c r="A44" s="134" t="s">
        <v>211</v>
      </c>
      <c r="B44" s="134" t="s">
        <v>682</v>
      </c>
      <c r="C44" s="134">
        <v>2015</v>
      </c>
      <c r="D44" s="170">
        <v>35939558875</v>
      </c>
      <c r="E44" s="134">
        <v>4.0999999999999996</v>
      </c>
      <c r="F44" s="170">
        <v>2469569058</v>
      </c>
      <c r="G44" s="134">
        <v>3.9</v>
      </c>
      <c r="H44" s="134">
        <v>6656</v>
      </c>
      <c r="I44" s="134">
        <v>7.7</v>
      </c>
    </row>
    <row r="45" spans="1:9" x14ac:dyDescent="0.2">
      <c r="A45" s="134" t="s">
        <v>212</v>
      </c>
      <c r="B45" s="134" t="s">
        <v>683</v>
      </c>
      <c r="C45" s="134">
        <v>2015</v>
      </c>
      <c r="D45" s="170">
        <v>7326608877</v>
      </c>
      <c r="E45" s="134">
        <v>0.8</v>
      </c>
      <c r="F45" s="170">
        <v>386480541</v>
      </c>
      <c r="G45" s="134">
        <v>0.6</v>
      </c>
      <c r="H45" s="134">
        <v>2675</v>
      </c>
      <c r="I45" s="134">
        <v>3.1</v>
      </c>
    </row>
    <row r="46" spans="1:9" x14ac:dyDescent="0.2">
      <c r="A46" s="134" t="s">
        <v>213</v>
      </c>
      <c r="B46" s="134" t="s">
        <v>684</v>
      </c>
      <c r="C46" s="134">
        <v>2015</v>
      </c>
      <c r="D46" s="170">
        <v>2521417905</v>
      </c>
      <c r="E46" s="134">
        <v>0.3</v>
      </c>
      <c r="F46" s="170">
        <v>187046418</v>
      </c>
      <c r="G46" s="134">
        <v>0.3</v>
      </c>
      <c r="H46" s="134">
        <v>489</v>
      </c>
      <c r="I46" s="134">
        <v>0.6</v>
      </c>
    </row>
    <row r="47" spans="1:9" x14ac:dyDescent="0.2">
      <c r="A47" s="134" t="s">
        <v>214</v>
      </c>
      <c r="B47" s="134" t="s">
        <v>685</v>
      </c>
      <c r="C47" s="134">
        <v>2015</v>
      </c>
      <c r="D47" s="170">
        <v>1102436430</v>
      </c>
      <c r="E47" s="134">
        <v>0.1</v>
      </c>
      <c r="F47" s="170">
        <v>54279722</v>
      </c>
      <c r="G47" s="134">
        <v>0.1</v>
      </c>
      <c r="H47" s="134">
        <v>159</v>
      </c>
      <c r="I47" s="134">
        <v>0.2</v>
      </c>
    </row>
    <row r="48" spans="1:9" x14ac:dyDescent="0.2">
      <c r="A48" s="134" t="s">
        <v>215</v>
      </c>
      <c r="B48" s="134" t="s">
        <v>686</v>
      </c>
      <c r="C48" s="134">
        <v>2015</v>
      </c>
      <c r="D48" s="170">
        <v>7630786949</v>
      </c>
      <c r="E48" s="134">
        <v>0.9</v>
      </c>
      <c r="F48" s="170">
        <v>672707947</v>
      </c>
      <c r="G48" s="134">
        <v>1.1000000000000001</v>
      </c>
      <c r="H48" s="134">
        <v>817</v>
      </c>
      <c r="I48" s="134">
        <v>0.9</v>
      </c>
    </row>
    <row r="49" spans="1:9" x14ac:dyDescent="0.2">
      <c r="A49" s="134" t="s">
        <v>216</v>
      </c>
      <c r="B49" s="134" t="s">
        <v>687</v>
      </c>
      <c r="C49" s="134">
        <v>2015</v>
      </c>
      <c r="D49" s="170">
        <v>48578849831</v>
      </c>
      <c r="E49" s="134">
        <v>5.6</v>
      </c>
      <c r="F49" s="170">
        <v>3212599988</v>
      </c>
      <c r="G49" s="134">
        <v>5.0999999999999996</v>
      </c>
      <c r="H49" s="134">
        <v>4782</v>
      </c>
      <c r="I49" s="134">
        <v>5.5</v>
      </c>
    </row>
    <row r="50" spans="1:9" x14ac:dyDescent="0.2">
      <c r="A50" s="134" t="s">
        <v>217</v>
      </c>
      <c r="B50" s="134" t="s">
        <v>688</v>
      </c>
      <c r="C50" s="134">
        <v>2015</v>
      </c>
      <c r="D50" s="170">
        <v>4196234728</v>
      </c>
      <c r="E50" s="134">
        <v>0.5</v>
      </c>
      <c r="F50" s="170">
        <v>218902529</v>
      </c>
      <c r="G50" s="134">
        <v>0.3</v>
      </c>
      <c r="H50" s="134">
        <v>594</v>
      </c>
      <c r="I50" s="134">
        <v>0.7</v>
      </c>
    </row>
    <row r="51" spans="1:9" x14ac:dyDescent="0.2">
      <c r="A51" s="134" t="s">
        <v>218</v>
      </c>
      <c r="B51" s="134" t="s">
        <v>689</v>
      </c>
      <c r="C51" s="134">
        <v>2015</v>
      </c>
      <c r="D51" s="170">
        <v>857246345</v>
      </c>
      <c r="E51" s="134">
        <v>0.1</v>
      </c>
      <c r="F51" s="170">
        <v>54846677</v>
      </c>
      <c r="G51" s="134">
        <v>0.1</v>
      </c>
      <c r="H51" s="134">
        <v>216</v>
      </c>
      <c r="I51" s="134">
        <v>0.3</v>
      </c>
    </row>
    <row r="52" spans="1:9" x14ac:dyDescent="0.2">
      <c r="A52" s="134" t="s">
        <v>219</v>
      </c>
      <c r="B52" s="134" t="s">
        <v>690</v>
      </c>
      <c r="C52" s="134">
        <v>2015</v>
      </c>
      <c r="D52" s="170">
        <v>10260981584</v>
      </c>
      <c r="E52" s="134">
        <v>1.2</v>
      </c>
      <c r="F52" s="170">
        <v>652950480</v>
      </c>
      <c r="G52" s="134">
        <v>1</v>
      </c>
      <c r="H52" s="134">
        <v>1517</v>
      </c>
      <c r="I52" s="134">
        <v>1.8</v>
      </c>
    </row>
    <row r="53" spans="1:9" x14ac:dyDescent="0.2">
      <c r="A53" s="134" t="s">
        <v>220</v>
      </c>
      <c r="B53" s="134" t="s">
        <v>691</v>
      </c>
      <c r="C53" s="134">
        <v>2015</v>
      </c>
      <c r="D53" s="170">
        <v>54150843917</v>
      </c>
      <c r="E53" s="134">
        <v>6.2</v>
      </c>
      <c r="F53" s="170">
        <v>4583276833</v>
      </c>
      <c r="G53" s="134">
        <v>7.3</v>
      </c>
      <c r="H53" s="134">
        <v>1300</v>
      </c>
      <c r="I53" s="134">
        <v>1.5</v>
      </c>
    </row>
    <row r="54" spans="1:9" x14ac:dyDescent="0.2">
      <c r="A54" s="134" t="s">
        <v>221</v>
      </c>
      <c r="B54" s="134" t="s">
        <v>692</v>
      </c>
      <c r="C54" s="134">
        <v>2015</v>
      </c>
      <c r="D54" s="170">
        <v>1420961399</v>
      </c>
      <c r="E54" s="134">
        <v>0.2</v>
      </c>
      <c r="F54" s="170">
        <v>72994735</v>
      </c>
      <c r="G54" s="134">
        <v>0.1</v>
      </c>
      <c r="H54" s="134">
        <v>293</v>
      </c>
      <c r="I54" s="134">
        <v>0.3</v>
      </c>
    </row>
    <row r="55" spans="1:9" x14ac:dyDescent="0.2">
      <c r="A55" s="134" t="s">
        <v>222</v>
      </c>
      <c r="B55" s="134" t="s">
        <v>693</v>
      </c>
      <c r="C55" s="134">
        <v>2015</v>
      </c>
      <c r="D55" s="170">
        <v>10384565875</v>
      </c>
      <c r="E55" s="134">
        <v>1.2</v>
      </c>
      <c r="F55" s="170">
        <v>696879197</v>
      </c>
      <c r="G55" s="134">
        <v>1.1000000000000001</v>
      </c>
      <c r="H55" s="134">
        <v>1883</v>
      </c>
      <c r="I55" s="134">
        <v>2.2000000000000002</v>
      </c>
    </row>
    <row r="56" spans="1:9" x14ac:dyDescent="0.2">
      <c r="A56" s="134" t="s">
        <v>223</v>
      </c>
      <c r="B56" s="134" t="s">
        <v>694</v>
      </c>
      <c r="C56" s="134">
        <v>2015</v>
      </c>
      <c r="D56" s="170">
        <v>1698342453</v>
      </c>
      <c r="E56" s="134">
        <v>0.2</v>
      </c>
      <c r="F56" s="170">
        <v>119354233</v>
      </c>
      <c r="G56" s="134">
        <v>0.2</v>
      </c>
      <c r="H56" s="134">
        <v>242</v>
      </c>
      <c r="I56" s="134">
        <v>0.3</v>
      </c>
    </row>
    <row r="57" spans="1:9" x14ac:dyDescent="0.2">
      <c r="D57" s="170">
        <f>SUM(D6:D56)</f>
        <v>867989379147</v>
      </c>
      <c r="E57" s="134">
        <f>SUM(E6:E56)</f>
        <v>99.7</v>
      </c>
      <c r="F57" s="170">
        <f>SUM(F6:F56)</f>
        <v>62793608844</v>
      </c>
      <c r="G57" s="134">
        <f>SUM(G6:G56)</f>
        <v>99.899999999999949</v>
      </c>
      <c r="I57" s="134">
        <f>SUM(I6:I56)</f>
        <v>100</v>
      </c>
    </row>
    <row r="59" spans="1:9" ht="51.75" customHeight="1" x14ac:dyDescent="0.2">
      <c r="A59" s="204" t="s">
        <v>695</v>
      </c>
      <c r="B59" s="204"/>
      <c r="C59" s="204"/>
      <c r="D59" s="204"/>
      <c r="E59" s="204"/>
      <c r="F59" s="204"/>
      <c r="G59" s="204"/>
      <c r="H59" s="204"/>
      <c r="I59" s="204"/>
    </row>
    <row r="61" spans="1:9" x14ac:dyDescent="0.2">
      <c r="A61" s="134" t="s">
        <v>696</v>
      </c>
    </row>
    <row r="63" spans="1:9" x14ac:dyDescent="0.2">
      <c r="A63" s="134" t="s">
        <v>697</v>
      </c>
    </row>
    <row r="64" spans="1:9" ht="168" x14ac:dyDescent="0.2">
      <c r="A64" s="202" t="s">
        <v>698</v>
      </c>
    </row>
    <row r="66" spans="1:9" x14ac:dyDescent="0.2">
      <c r="A66" s="134" t="s">
        <v>699</v>
      </c>
    </row>
    <row r="68" spans="1:9" x14ac:dyDescent="0.2">
      <c r="A68" s="134" t="s">
        <v>700</v>
      </c>
      <c r="B68" s="134" t="s">
        <v>701</v>
      </c>
      <c r="C68" s="134" t="s">
        <v>702</v>
      </c>
      <c r="D68" s="134" t="s">
        <v>703</v>
      </c>
      <c r="E68" s="134" t="s">
        <v>704</v>
      </c>
      <c r="F68" s="134" t="s">
        <v>705</v>
      </c>
      <c r="G68" s="134" t="s">
        <v>706</v>
      </c>
      <c r="H68" s="134" t="s">
        <v>707</v>
      </c>
      <c r="I68" s="134" t="s">
        <v>708</v>
      </c>
    </row>
    <row r="69" spans="1:9" x14ac:dyDescent="0.2">
      <c r="A69" s="134" t="s">
        <v>709</v>
      </c>
      <c r="B69" s="134" t="s">
        <v>710</v>
      </c>
      <c r="C69" s="134">
        <v>2015</v>
      </c>
      <c r="D69" s="203">
        <v>84271432910</v>
      </c>
      <c r="E69" s="134">
        <v>9.6999999999999993</v>
      </c>
      <c r="F69" s="134">
        <v>6989857606</v>
      </c>
      <c r="G69" s="134">
        <v>11.1</v>
      </c>
      <c r="H69" s="134">
        <v>795</v>
      </c>
      <c r="I69" s="134">
        <v>0.9</v>
      </c>
    </row>
    <row r="70" spans="1:9" x14ac:dyDescent="0.2">
      <c r="A70" s="134" t="s">
        <v>421</v>
      </c>
      <c r="B70" s="134" t="s">
        <v>711</v>
      </c>
      <c r="C70" s="134">
        <v>2015</v>
      </c>
      <c r="D70" s="203">
        <v>27799317937</v>
      </c>
      <c r="E70" s="134">
        <v>3.2</v>
      </c>
      <c r="F70" s="134">
        <v>5508251597</v>
      </c>
      <c r="G70" s="134">
        <v>8.8000000000000007</v>
      </c>
      <c r="H70" s="134">
        <v>2468</v>
      </c>
      <c r="I70" s="134">
        <v>2.9</v>
      </c>
    </row>
    <row r="71" spans="1:9" x14ac:dyDescent="0.2">
      <c r="A71" s="134" t="s">
        <v>712</v>
      </c>
      <c r="B71" s="134" t="s">
        <v>658</v>
      </c>
      <c r="C71" s="134">
        <v>2015</v>
      </c>
      <c r="D71" s="203">
        <v>712025541743</v>
      </c>
      <c r="E71" s="134">
        <v>82</v>
      </c>
      <c r="F71" s="134">
        <v>44128388767</v>
      </c>
      <c r="G71" s="134">
        <v>70.3</v>
      </c>
      <c r="H71" s="134">
        <v>79489</v>
      </c>
      <c r="I71" s="134">
        <v>92.2</v>
      </c>
    </row>
    <row r="72" spans="1:9" x14ac:dyDescent="0.2">
      <c r="A72" s="134" t="s">
        <v>713</v>
      </c>
      <c r="B72" s="134" t="s">
        <v>714</v>
      </c>
      <c r="C72" s="134">
        <v>2015</v>
      </c>
      <c r="D72" s="203">
        <v>43893086557</v>
      </c>
      <c r="E72" s="134">
        <v>5.0999999999999996</v>
      </c>
      <c r="F72" s="134">
        <v>6167110874</v>
      </c>
      <c r="G72" s="134">
        <v>9.8000000000000007</v>
      </c>
      <c r="H72" s="134">
        <v>3451</v>
      </c>
      <c r="I72" s="134">
        <v>4</v>
      </c>
    </row>
  </sheetData>
  <pageMargins left="0.7" right="0.7" top="0.75" bottom="0.75" header="0.3" footer="0.3"/>
  <pageSetup scale="67"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86F9D-45D6-43F1-A12B-E7FAC64F9489}">
  <dimension ref="A1:J52"/>
  <sheetViews>
    <sheetView workbookViewId="0">
      <selection activeCell="B24" sqref="B24"/>
    </sheetView>
  </sheetViews>
  <sheetFormatPr defaultRowHeight="15" outlineLevelCol="1" x14ac:dyDescent="0.25"/>
  <cols>
    <col min="1" max="1" width="22.5703125" bestFit="1" customWidth="1"/>
    <col min="2" max="2" width="29.7109375" bestFit="1" customWidth="1"/>
    <col min="3" max="3" width="24" bestFit="1" customWidth="1"/>
    <col min="4" max="4" width="22.28515625" bestFit="1" customWidth="1"/>
    <col min="5" max="5" width="33.85546875" bestFit="1" customWidth="1"/>
    <col min="6" max="6" width="33.85546875" customWidth="1"/>
    <col min="7" max="7" width="22.28515625" hidden="1" customWidth="1" outlineLevel="1"/>
    <col min="8" max="8" width="31.28515625" hidden="1" customWidth="1" outlineLevel="1"/>
    <col min="9" max="9" width="17.5703125" hidden="1" customWidth="1" outlineLevel="1"/>
    <col min="10" max="10" width="15.85546875" bestFit="1" customWidth="1" collapsed="1"/>
  </cols>
  <sheetData>
    <row r="1" spans="1:10" x14ac:dyDescent="0.25">
      <c r="A1" s="1" t="s">
        <v>715</v>
      </c>
      <c r="B1" s="1" t="s">
        <v>716</v>
      </c>
      <c r="C1" s="1" t="s">
        <v>74</v>
      </c>
      <c r="D1" s="1" t="s">
        <v>717</v>
      </c>
      <c r="E1" s="1" t="s">
        <v>226</v>
      </c>
      <c r="F1" s="1" t="s">
        <v>718</v>
      </c>
      <c r="G1" s="1" t="s">
        <v>719</v>
      </c>
      <c r="H1" s="1" t="s">
        <v>63</v>
      </c>
      <c r="I1" s="1" t="s">
        <v>720</v>
      </c>
      <c r="J1" s="1" t="s">
        <v>83</v>
      </c>
    </row>
    <row r="2" spans="1:10" x14ac:dyDescent="0.25">
      <c r="A2" t="s">
        <v>59</v>
      </c>
      <c r="B2" t="s">
        <v>80</v>
      </c>
      <c r="C2" t="s">
        <v>6</v>
      </c>
      <c r="D2" t="s">
        <v>79</v>
      </c>
      <c r="E2" t="s">
        <v>120</v>
      </c>
      <c r="F2" t="s">
        <v>286</v>
      </c>
      <c r="G2" t="s">
        <v>101</v>
      </c>
      <c r="H2" t="s">
        <v>342</v>
      </c>
      <c r="I2" t="s">
        <v>721</v>
      </c>
      <c r="J2" t="s">
        <v>173</v>
      </c>
    </row>
    <row r="3" spans="1:10" x14ac:dyDescent="0.25">
      <c r="A3" t="s">
        <v>51</v>
      </c>
      <c r="B3" t="s">
        <v>81</v>
      </c>
      <c r="C3" t="s">
        <v>722</v>
      </c>
      <c r="D3" t="s">
        <v>78</v>
      </c>
      <c r="E3" t="s">
        <v>121</v>
      </c>
      <c r="F3" t="s">
        <v>290</v>
      </c>
      <c r="G3" t="s">
        <v>102</v>
      </c>
      <c r="H3" t="s">
        <v>394</v>
      </c>
      <c r="I3" t="s">
        <v>723</v>
      </c>
      <c r="J3" t="s">
        <v>174</v>
      </c>
    </row>
    <row r="4" spans="1:10" x14ac:dyDescent="0.25">
      <c r="A4" t="s">
        <v>54</v>
      </c>
      <c r="B4" t="s">
        <v>82</v>
      </c>
      <c r="C4" t="s">
        <v>378</v>
      </c>
      <c r="D4" t="s">
        <v>77</v>
      </c>
      <c r="E4" t="s">
        <v>122</v>
      </c>
      <c r="F4" t="s">
        <v>294</v>
      </c>
      <c r="G4" t="s">
        <v>103</v>
      </c>
      <c r="H4" t="s">
        <v>373</v>
      </c>
      <c r="I4" t="s">
        <v>724</v>
      </c>
      <c r="J4" t="s">
        <v>175</v>
      </c>
    </row>
    <row r="5" spans="1:10" x14ac:dyDescent="0.25">
      <c r="A5" t="s">
        <v>55</v>
      </c>
      <c r="C5" t="s">
        <v>83</v>
      </c>
      <c r="D5" t="s">
        <v>725</v>
      </c>
      <c r="E5" t="s">
        <v>123</v>
      </c>
      <c r="F5" t="s">
        <v>287</v>
      </c>
      <c r="G5" t="s">
        <v>104</v>
      </c>
      <c r="H5" t="s">
        <v>339</v>
      </c>
      <c r="I5" t="s">
        <v>726</v>
      </c>
      <c r="J5" t="s">
        <v>176</v>
      </c>
    </row>
    <row r="6" spans="1:10" x14ac:dyDescent="0.25">
      <c r="A6" t="s">
        <v>52</v>
      </c>
      <c r="C6" t="s">
        <v>7</v>
      </c>
      <c r="E6" t="s">
        <v>124</v>
      </c>
      <c r="F6" t="s">
        <v>291</v>
      </c>
      <c r="G6" t="s">
        <v>727</v>
      </c>
      <c r="H6" t="s">
        <v>379</v>
      </c>
      <c r="I6" t="s">
        <v>728</v>
      </c>
      <c r="J6" t="s">
        <v>177</v>
      </c>
    </row>
    <row r="7" spans="1:10" x14ac:dyDescent="0.25">
      <c r="A7" t="s">
        <v>53</v>
      </c>
      <c r="E7" t="s">
        <v>125</v>
      </c>
      <c r="F7" t="s">
        <v>295</v>
      </c>
      <c r="G7" t="s">
        <v>100</v>
      </c>
      <c r="H7" t="s">
        <v>436</v>
      </c>
      <c r="I7" t="s">
        <v>729</v>
      </c>
      <c r="J7" t="s">
        <v>178</v>
      </c>
    </row>
    <row r="8" spans="1:10" x14ac:dyDescent="0.25">
      <c r="A8" t="s">
        <v>56</v>
      </c>
      <c r="E8" t="s">
        <v>126</v>
      </c>
      <c r="F8" t="s">
        <v>288</v>
      </c>
      <c r="H8" t="s">
        <v>343</v>
      </c>
      <c r="J8" t="s">
        <v>179</v>
      </c>
    </row>
    <row r="9" spans="1:10" x14ac:dyDescent="0.25">
      <c r="E9" t="s">
        <v>127</v>
      </c>
      <c r="F9" t="s">
        <v>292</v>
      </c>
      <c r="J9" t="s">
        <v>180</v>
      </c>
    </row>
    <row r="10" spans="1:10" x14ac:dyDescent="0.25">
      <c r="E10" t="s">
        <v>128</v>
      </c>
      <c r="F10" t="s">
        <v>296</v>
      </c>
      <c r="J10" t="s">
        <v>181</v>
      </c>
    </row>
    <row r="11" spans="1:10" x14ac:dyDescent="0.25">
      <c r="E11" t="s">
        <v>129</v>
      </c>
      <c r="F11" t="s">
        <v>289</v>
      </c>
      <c r="J11" t="s">
        <v>182</v>
      </c>
    </row>
    <row r="12" spans="1:10" x14ac:dyDescent="0.25">
      <c r="E12" t="s">
        <v>130</v>
      </c>
      <c r="F12" t="s">
        <v>293</v>
      </c>
      <c r="J12" t="s">
        <v>183</v>
      </c>
    </row>
    <row r="13" spans="1:10" x14ac:dyDescent="0.25">
      <c r="E13" t="s">
        <v>131</v>
      </c>
      <c r="F13" t="s">
        <v>297</v>
      </c>
      <c r="J13" t="s">
        <v>184</v>
      </c>
    </row>
    <row r="14" spans="1:10" x14ac:dyDescent="0.25">
      <c r="E14" t="s">
        <v>730</v>
      </c>
      <c r="J14" t="s">
        <v>185</v>
      </c>
    </row>
    <row r="15" spans="1:10" x14ac:dyDescent="0.25">
      <c r="E15" t="s">
        <v>731</v>
      </c>
      <c r="J15" t="s">
        <v>186</v>
      </c>
    </row>
    <row r="16" spans="1:10" x14ac:dyDescent="0.25">
      <c r="E16" t="s">
        <v>732</v>
      </c>
      <c r="J16" t="s">
        <v>187</v>
      </c>
    </row>
    <row r="17" spans="5:10" x14ac:dyDescent="0.25">
      <c r="E17" t="s">
        <v>71</v>
      </c>
      <c r="J17" t="s">
        <v>188</v>
      </c>
    </row>
    <row r="18" spans="5:10" x14ac:dyDescent="0.25">
      <c r="E18" t="s">
        <v>72</v>
      </c>
      <c r="J18" t="s">
        <v>189</v>
      </c>
    </row>
    <row r="19" spans="5:10" x14ac:dyDescent="0.25">
      <c r="E19" t="s">
        <v>241</v>
      </c>
      <c r="J19" t="s">
        <v>190</v>
      </c>
    </row>
    <row r="20" spans="5:10" x14ac:dyDescent="0.25">
      <c r="E20" t="s">
        <v>242</v>
      </c>
      <c r="J20" t="s">
        <v>191</v>
      </c>
    </row>
    <row r="21" spans="5:10" x14ac:dyDescent="0.25">
      <c r="E21" t="s">
        <v>243</v>
      </c>
      <c r="J21" t="s">
        <v>192</v>
      </c>
    </row>
    <row r="22" spans="5:10" x14ac:dyDescent="0.25">
      <c r="J22" t="s">
        <v>193</v>
      </c>
    </row>
    <row r="23" spans="5:10" x14ac:dyDescent="0.25">
      <c r="J23" t="s">
        <v>194</v>
      </c>
    </row>
    <row r="24" spans="5:10" x14ac:dyDescent="0.25">
      <c r="J24" t="s">
        <v>195</v>
      </c>
    </row>
    <row r="25" spans="5:10" x14ac:dyDescent="0.25">
      <c r="J25" t="s">
        <v>196</v>
      </c>
    </row>
    <row r="26" spans="5:10" x14ac:dyDescent="0.25">
      <c r="J26" t="s">
        <v>197</v>
      </c>
    </row>
    <row r="27" spans="5:10" x14ac:dyDescent="0.25">
      <c r="J27" t="s">
        <v>198</v>
      </c>
    </row>
    <row r="28" spans="5:10" x14ac:dyDescent="0.25">
      <c r="J28" t="s">
        <v>199</v>
      </c>
    </row>
    <row r="29" spans="5:10" x14ac:dyDescent="0.25">
      <c r="J29" t="s">
        <v>200</v>
      </c>
    </row>
    <row r="30" spans="5:10" x14ac:dyDescent="0.25">
      <c r="J30" t="s">
        <v>201</v>
      </c>
    </row>
    <row r="31" spans="5:10" x14ac:dyDescent="0.25">
      <c r="J31" t="s">
        <v>202</v>
      </c>
    </row>
    <row r="32" spans="5:10" x14ac:dyDescent="0.25">
      <c r="J32" t="s">
        <v>203</v>
      </c>
    </row>
    <row r="33" spans="10:10" x14ac:dyDescent="0.25">
      <c r="J33" t="s">
        <v>204</v>
      </c>
    </row>
    <row r="34" spans="10:10" x14ac:dyDescent="0.25">
      <c r="J34" t="s">
        <v>205</v>
      </c>
    </row>
    <row r="35" spans="10:10" x14ac:dyDescent="0.25">
      <c r="J35" t="s">
        <v>206</v>
      </c>
    </row>
    <row r="36" spans="10:10" x14ac:dyDescent="0.25">
      <c r="J36" t="s">
        <v>207</v>
      </c>
    </row>
    <row r="37" spans="10:10" x14ac:dyDescent="0.25">
      <c r="J37" t="s">
        <v>208</v>
      </c>
    </row>
    <row r="38" spans="10:10" x14ac:dyDescent="0.25">
      <c r="J38" t="s">
        <v>209</v>
      </c>
    </row>
    <row r="39" spans="10:10" x14ac:dyDescent="0.25">
      <c r="J39" t="s">
        <v>210</v>
      </c>
    </row>
    <row r="40" spans="10:10" x14ac:dyDescent="0.25">
      <c r="J40" t="s">
        <v>211</v>
      </c>
    </row>
    <row r="41" spans="10:10" x14ac:dyDescent="0.25">
      <c r="J41" t="s">
        <v>212</v>
      </c>
    </row>
    <row r="42" spans="10:10" x14ac:dyDescent="0.25">
      <c r="J42" t="s">
        <v>213</v>
      </c>
    </row>
    <row r="43" spans="10:10" x14ac:dyDescent="0.25">
      <c r="J43" t="s">
        <v>214</v>
      </c>
    </row>
    <row r="44" spans="10:10" x14ac:dyDescent="0.25">
      <c r="J44" t="s">
        <v>215</v>
      </c>
    </row>
    <row r="45" spans="10:10" x14ac:dyDescent="0.25">
      <c r="J45" t="s">
        <v>216</v>
      </c>
    </row>
    <row r="46" spans="10:10" x14ac:dyDescent="0.25">
      <c r="J46" t="s">
        <v>217</v>
      </c>
    </row>
    <row r="47" spans="10:10" x14ac:dyDescent="0.25">
      <c r="J47" t="s">
        <v>218</v>
      </c>
    </row>
    <row r="48" spans="10:10" x14ac:dyDescent="0.25">
      <c r="J48" t="s">
        <v>219</v>
      </c>
    </row>
    <row r="49" spans="10:10" x14ac:dyDescent="0.25">
      <c r="J49" t="s">
        <v>220</v>
      </c>
    </row>
    <row r="50" spans="10:10" x14ac:dyDescent="0.25">
      <c r="J50" t="s">
        <v>221</v>
      </c>
    </row>
    <row r="51" spans="10:10" x14ac:dyDescent="0.25">
      <c r="J51" t="s">
        <v>222</v>
      </c>
    </row>
    <row r="52" spans="10:10" x14ac:dyDescent="0.25">
      <c r="J52" t="s">
        <v>223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0348-1137-4328-9469-808857E38F84}">
  <dimension ref="A2:B16"/>
  <sheetViews>
    <sheetView workbookViewId="0">
      <selection activeCell="B8" sqref="B8"/>
    </sheetView>
  </sheetViews>
  <sheetFormatPr defaultRowHeight="15" x14ac:dyDescent="0.25"/>
  <cols>
    <col min="1" max="1" width="4" customWidth="1"/>
  </cols>
  <sheetData>
    <row r="2" spans="1:2" x14ac:dyDescent="0.25">
      <c r="A2" s="1" t="s">
        <v>733</v>
      </c>
    </row>
    <row r="4" spans="1:2" x14ac:dyDescent="0.25">
      <c r="A4" s="1" t="s">
        <v>734</v>
      </c>
    </row>
    <row r="6" spans="1:2" x14ac:dyDescent="0.25">
      <c r="A6" s="1" t="s">
        <v>735</v>
      </c>
    </row>
    <row r="7" spans="1:2" x14ac:dyDescent="0.25">
      <c r="B7" t="s">
        <v>736</v>
      </c>
    </row>
    <row r="8" spans="1:2" x14ac:dyDescent="0.25">
      <c r="B8" t="s">
        <v>737</v>
      </c>
    </row>
    <row r="9" spans="1:2" x14ac:dyDescent="0.25">
      <c r="B9" t="s">
        <v>738</v>
      </c>
    </row>
    <row r="11" spans="1:2" x14ac:dyDescent="0.25">
      <c r="A11" s="1" t="s">
        <v>739</v>
      </c>
    </row>
    <row r="13" spans="1:2" x14ac:dyDescent="0.25">
      <c r="A13" s="1" t="s">
        <v>740</v>
      </c>
    </row>
    <row r="15" spans="1:2" x14ac:dyDescent="0.25">
      <c r="A15" s="1" t="s">
        <v>741</v>
      </c>
    </row>
    <row r="16" spans="1:2" x14ac:dyDescent="0.25">
      <c r="B16" t="s">
        <v>742</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4F84-0BDE-4B4D-999B-25FC826279E9}">
  <dimension ref="A1:D56"/>
  <sheetViews>
    <sheetView topLeftCell="A22" workbookViewId="0">
      <selection activeCell="B50" sqref="B50"/>
    </sheetView>
  </sheetViews>
  <sheetFormatPr defaultRowHeight="15" x14ac:dyDescent="0.25"/>
  <cols>
    <col min="1" max="1" width="1.7109375" customWidth="1"/>
    <col min="2" max="2" width="51" customWidth="1"/>
    <col min="3" max="3" width="71.140625" bestFit="1" customWidth="1"/>
    <col min="4" max="4" width="65.140625" bestFit="1" customWidth="1"/>
  </cols>
  <sheetData>
    <row r="1" spans="1:4" ht="15.75" x14ac:dyDescent="0.25">
      <c r="A1" s="3" t="s">
        <v>743</v>
      </c>
      <c r="D1" s="6" t="s">
        <v>744</v>
      </c>
    </row>
    <row r="2" spans="1:4" ht="15.75" x14ac:dyDescent="0.25">
      <c r="A2" s="3" t="s">
        <v>745</v>
      </c>
    </row>
    <row r="3" spans="1:4" ht="15.75" x14ac:dyDescent="0.25">
      <c r="A3" s="4" t="s">
        <v>746</v>
      </c>
    </row>
    <row r="5" spans="1:4" x14ac:dyDescent="0.25">
      <c r="A5" s="7" t="s">
        <v>747</v>
      </c>
      <c r="B5" s="8"/>
      <c r="C5" s="8"/>
      <c r="D5" s="9"/>
    </row>
    <row r="6" spans="1:4" x14ac:dyDescent="0.25">
      <c r="A6" s="10"/>
      <c r="B6" s="5" t="s">
        <v>748</v>
      </c>
      <c r="C6" s="5" t="s">
        <v>749</v>
      </c>
      <c r="D6" s="11" t="s">
        <v>750</v>
      </c>
    </row>
    <row r="7" spans="1:4" x14ac:dyDescent="0.25">
      <c r="A7" s="14"/>
      <c r="B7" t="s">
        <v>751</v>
      </c>
      <c r="C7" t="s">
        <v>752</v>
      </c>
      <c r="D7" s="15" t="s">
        <v>753</v>
      </c>
    </row>
    <row r="8" spans="1:4" x14ac:dyDescent="0.25">
      <c r="A8" s="14"/>
      <c r="C8" t="s">
        <v>754</v>
      </c>
      <c r="D8" s="15"/>
    </row>
    <row r="9" spans="1:4" x14ac:dyDescent="0.25">
      <c r="A9" s="14"/>
      <c r="C9" t="s">
        <v>755</v>
      </c>
      <c r="D9" s="15"/>
    </row>
    <row r="10" spans="1:4" x14ac:dyDescent="0.25">
      <c r="A10" s="14"/>
      <c r="C10" t="s">
        <v>756</v>
      </c>
      <c r="D10" s="15"/>
    </row>
    <row r="11" spans="1:4" x14ac:dyDescent="0.25">
      <c r="A11" s="14"/>
      <c r="C11" t="s">
        <v>757</v>
      </c>
      <c r="D11" s="15"/>
    </row>
    <row r="12" spans="1:4" x14ac:dyDescent="0.25">
      <c r="A12" s="14"/>
      <c r="C12" t="s">
        <v>758</v>
      </c>
      <c r="D12" s="15"/>
    </row>
    <row r="13" spans="1:4" x14ac:dyDescent="0.25">
      <c r="A13" s="16"/>
      <c r="B13" s="12"/>
      <c r="C13" s="12" t="s">
        <v>759</v>
      </c>
      <c r="D13" s="17"/>
    </row>
    <row r="14" spans="1:4" x14ac:dyDescent="0.25">
      <c r="A14" s="14"/>
      <c r="B14" t="s">
        <v>760</v>
      </c>
      <c r="C14" t="s">
        <v>761</v>
      </c>
      <c r="D14" s="15"/>
    </row>
    <row r="15" spans="1:4" x14ac:dyDescent="0.25">
      <c r="A15" s="14"/>
      <c r="C15" t="s">
        <v>762</v>
      </c>
      <c r="D15" s="15"/>
    </row>
    <row r="16" spans="1:4" x14ac:dyDescent="0.25">
      <c r="A16" s="14"/>
      <c r="C16" t="s">
        <v>758</v>
      </c>
      <c r="D16" s="15"/>
    </row>
    <row r="17" spans="1:4" x14ac:dyDescent="0.25">
      <c r="A17" s="16"/>
      <c r="B17" s="12"/>
      <c r="C17" s="12" t="s">
        <v>759</v>
      </c>
      <c r="D17" s="17"/>
    </row>
    <row r="18" spans="1:4" x14ac:dyDescent="0.25">
      <c r="A18" s="14"/>
      <c r="B18" t="s">
        <v>763</v>
      </c>
      <c r="C18" t="s">
        <v>764</v>
      </c>
      <c r="D18" s="15" t="s">
        <v>765</v>
      </c>
    </row>
    <row r="19" spans="1:4" x14ac:dyDescent="0.25">
      <c r="A19" s="14"/>
      <c r="C19" t="s">
        <v>766</v>
      </c>
      <c r="D19" s="15"/>
    </row>
    <row r="20" spans="1:4" x14ac:dyDescent="0.25">
      <c r="A20" s="14"/>
      <c r="C20" t="s">
        <v>767</v>
      </c>
      <c r="D20" s="15"/>
    </row>
    <row r="21" spans="1:4" x14ac:dyDescent="0.25">
      <c r="A21" s="14"/>
      <c r="C21" t="s">
        <v>768</v>
      </c>
      <c r="D21" s="15"/>
    </row>
    <row r="22" spans="1:4" x14ac:dyDescent="0.25">
      <c r="A22" s="14"/>
      <c r="C22" t="s">
        <v>769</v>
      </c>
      <c r="D22" s="15"/>
    </row>
    <row r="23" spans="1:4" x14ac:dyDescent="0.25">
      <c r="A23" s="14"/>
      <c r="C23" t="s">
        <v>770</v>
      </c>
      <c r="D23" s="15"/>
    </row>
    <row r="24" spans="1:4" x14ac:dyDescent="0.25">
      <c r="A24" s="14"/>
      <c r="C24" t="s">
        <v>771</v>
      </c>
      <c r="D24" s="18"/>
    </row>
    <row r="25" spans="1:4" x14ac:dyDescent="0.25">
      <c r="A25" s="16"/>
      <c r="B25" s="12"/>
      <c r="C25" s="12" t="s">
        <v>772</v>
      </c>
      <c r="D25" s="17"/>
    </row>
    <row r="26" spans="1:4" x14ac:dyDescent="0.25">
      <c r="A26" s="16"/>
      <c r="B26" s="12" t="s">
        <v>773</v>
      </c>
      <c r="C26" s="12" t="s">
        <v>774</v>
      </c>
      <c r="D26" s="17"/>
    </row>
    <row r="27" spans="1:4" x14ac:dyDescent="0.25">
      <c r="A27" s="14"/>
      <c r="B27" t="s">
        <v>775</v>
      </c>
      <c r="C27" t="s">
        <v>776</v>
      </c>
      <c r="D27" s="15" t="s">
        <v>777</v>
      </c>
    </row>
    <row r="28" spans="1:4" x14ac:dyDescent="0.25">
      <c r="A28" s="14"/>
      <c r="C28" t="s">
        <v>778</v>
      </c>
      <c r="D28" s="18"/>
    </row>
    <row r="29" spans="1:4" x14ac:dyDescent="0.25">
      <c r="A29" s="14"/>
      <c r="C29" t="s">
        <v>779</v>
      </c>
      <c r="D29" s="15" t="s">
        <v>780</v>
      </c>
    </row>
    <row r="30" spans="1:4" x14ac:dyDescent="0.25">
      <c r="A30" s="14"/>
      <c r="C30" t="s">
        <v>781</v>
      </c>
      <c r="D30" s="18"/>
    </row>
    <row r="31" spans="1:4" ht="6" customHeight="1" x14ac:dyDescent="0.25">
      <c r="A31" s="14"/>
      <c r="D31" s="18"/>
    </row>
    <row r="32" spans="1:4" x14ac:dyDescent="0.25">
      <c r="A32" s="7" t="s">
        <v>782</v>
      </c>
      <c r="B32" s="8"/>
      <c r="C32" s="8"/>
      <c r="D32" s="9"/>
    </row>
    <row r="33" spans="1:4" x14ac:dyDescent="0.25">
      <c r="A33" s="10"/>
      <c r="B33" s="5" t="s">
        <v>783</v>
      </c>
      <c r="C33" s="5" t="s">
        <v>784</v>
      </c>
      <c r="D33" s="11"/>
    </row>
    <row r="34" spans="1:4" x14ac:dyDescent="0.25">
      <c r="A34" s="14"/>
      <c r="B34" t="s">
        <v>785</v>
      </c>
      <c r="C34" t="s">
        <v>786</v>
      </c>
      <c r="D34" s="15"/>
    </row>
    <row r="35" spans="1:4" x14ac:dyDescent="0.25">
      <c r="A35" s="14"/>
      <c r="B35" t="s">
        <v>787</v>
      </c>
      <c r="C35" t="s">
        <v>788</v>
      </c>
      <c r="D35" s="15"/>
    </row>
    <row r="36" spans="1:4" x14ac:dyDescent="0.25">
      <c r="A36" s="14"/>
      <c r="B36" t="s">
        <v>789</v>
      </c>
      <c r="D36" s="15"/>
    </row>
    <row r="37" spans="1:4" x14ac:dyDescent="0.25">
      <c r="A37" s="14"/>
      <c r="D37" s="15"/>
    </row>
    <row r="38" spans="1:4" x14ac:dyDescent="0.25">
      <c r="A38" s="14"/>
      <c r="B38" t="s">
        <v>790</v>
      </c>
      <c r="C38" t="s">
        <v>791</v>
      </c>
      <c r="D38" s="15"/>
    </row>
    <row r="39" spans="1:4" x14ac:dyDescent="0.25">
      <c r="A39" s="14"/>
      <c r="B39" t="s">
        <v>792</v>
      </c>
      <c r="C39" t="s">
        <v>793</v>
      </c>
      <c r="D39" s="15"/>
    </row>
    <row r="40" spans="1:4" ht="30" x14ac:dyDescent="0.25">
      <c r="A40" s="14"/>
      <c r="B40" t="s">
        <v>794</v>
      </c>
      <c r="C40" s="13" t="s">
        <v>795</v>
      </c>
      <c r="D40" s="15"/>
    </row>
    <row r="41" spans="1:4" ht="30" x14ac:dyDescent="0.25">
      <c r="A41" s="14"/>
      <c r="B41" t="s">
        <v>796</v>
      </c>
      <c r="C41" s="13" t="s">
        <v>795</v>
      </c>
      <c r="D41" s="15"/>
    </row>
    <row r="42" spans="1:4" ht="30" x14ac:dyDescent="0.25">
      <c r="A42" s="14"/>
      <c r="B42" t="s">
        <v>797</v>
      </c>
      <c r="C42" s="13" t="s">
        <v>795</v>
      </c>
      <c r="D42" s="19"/>
    </row>
    <row r="43" spans="1:4" x14ac:dyDescent="0.25">
      <c r="A43" s="14"/>
      <c r="B43" t="s">
        <v>798</v>
      </c>
      <c r="C43" t="s">
        <v>799</v>
      </c>
      <c r="D43" s="15"/>
    </row>
    <row r="44" spans="1:4" x14ac:dyDescent="0.25">
      <c r="A44" s="14"/>
      <c r="B44" t="s">
        <v>800</v>
      </c>
      <c r="C44" t="s">
        <v>801</v>
      </c>
      <c r="D44" s="15"/>
    </row>
    <row r="45" spans="1:4" ht="6" customHeight="1" x14ac:dyDescent="0.25">
      <c r="A45" s="20"/>
      <c r="B45" s="21"/>
      <c r="C45" s="21"/>
      <c r="D45" s="22"/>
    </row>
    <row r="46" spans="1:4" x14ac:dyDescent="0.25">
      <c r="A46" s="7" t="s">
        <v>802</v>
      </c>
      <c r="B46" s="8"/>
      <c r="C46" s="8"/>
      <c r="D46" s="9"/>
    </row>
    <row r="47" spans="1:4" x14ac:dyDescent="0.25">
      <c r="A47" s="10"/>
      <c r="B47" s="5"/>
      <c r="C47" s="5"/>
      <c r="D47" s="11"/>
    </row>
    <row r="48" spans="1:4" x14ac:dyDescent="0.25">
      <c r="A48" s="14"/>
      <c r="B48" t="s">
        <v>803</v>
      </c>
      <c r="D48" s="15"/>
    </row>
    <row r="49" spans="1:4" x14ac:dyDescent="0.25">
      <c r="A49" s="14"/>
      <c r="B49" t="s">
        <v>804</v>
      </c>
      <c r="D49" s="15"/>
    </row>
    <row r="50" spans="1:4" x14ac:dyDescent="0.25">
      <c r="A50" s="14"/>
      <c r="B50" t="s">
        <v>805</v>
      </c>
      <c r="D50" s="15"/>
    </row>
    <row r="51" spans="1:4" x14ac:dyDescent="0.25">
      <c r="A51" s="14"/>
      <c r="B51" t="s">
        <v>806</v>
      </c>
      <c r="C51" t="s">
        <v>807</v>
      </c>
      <c r="D51" s="15"/>
    </row>
    <row r="52" spans="1:4" x14ac:dyDescent="0.25">
      <c r="A52" s="14"/>
      <c r="B52" t="s">
        <v>808</v>
      </c>
      <c r="D52" s="15"/>
    </row>
    <row r="53" spans="1:4" x14ac:dyDescent="0.25">
      <c r="A53" s="14"/>
      <c r="B53" t="s">
        <v>809</v>
      </c>
      <c r="C53" t="s">
        <v>810</v>
      </c>
      <c r="D53" s="15"/>
    </row>
    <row r="54" spans="1:4" x14ac:dyDescent="0.25">
      <c r="A54" s="14"/>
      <c r="B54" t="s">
        <v>811</v>
      </c>
      <c r="D54" s="15"/>
    </row>
    <row r="55" spans="1:4" x14ac:dyDescent="0.25">
      <c r="A55" s="14"/>
      <c r="B55" t="s">
        <v>812</v>
      </c>
      <c r="D55" s="15"/>
    </row>
    <row r="56" spans="1:4" ht="6" customHeight="1" x14ac:dyDescent="0.25">
      <c r="A56" s="20"/>
      <c r="B56" s="21"/>
      <c r="C56" s="21"/>
      <c r="D56" s="22"/>
    </row>
  </sheetData>
  <sortState xmlns:xlrd2="http://schemas.microsoft.com/office/spreadsheetml/2017/richdata2" ref="B34:D44">
    <sortCondition ref="B34:B44"/>
  </sortState>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EF9B0-D744-44CE-AFBF-8DAA3753EFD6}">
  <dimension ref="A1:D44"/>
  <sheetViews>
    <sheetView view="pageBreakPreview" zoomScale="130" zoomScaleNormal="115" zoomScaleSheetLayoutView="130" workbookViewId="0">
      <selection activeCell="C37" sqref="C37"/>
    </sheetView>
  </sheetViews>
  <sheetFormatPr defaultRowHeight="15" outlineLevelCol="1" x14ac:dyDescent="0.25"/>
  <cols>
    <col min="1" max="1" width="32.42578125" customWidth="1"/>
    <col min="2" max="2" width="22.7109375" hidden="1" customWidth="1" outlineLevel="1"/>
    <col min="3" max="3" width="48.85546875" bestFit="1" customWidth="1" collapsed="1"/>
    <col min="4" max="4" width="45.28515625" customWidth="1"/>
    <col min="5" max="5" width="19.7109375" bestFit="1" customWidth="1"/>
  </cols>
  <sheetData>
    <row r="1" spans="1:4" x14ac:dyDescent="0.25">
      <c r="A1" s="1" t="s">
        <v>743</v>
      </c>
    </row>
    <row r="2" spans="1:4" x14ac:dyDescent="0.25">
      <c r="A2" s="1" t="s">
        <v>813</v>
      </c>
    </row>
    <row r="3" spans="1:4" x14ac:dyDescent="0.25">
      <c r="A3" s="2" t="s">
        <v>746</v>
      </c>
    </row>
    <row r="5" spans="1:4" x14ac:dyDescent="0.25">
      <c r="A5" s="23" t="s">
        <v>74</v>
      </c>
      <c r="B5" s="24" t="s">
        <v>63</v>
      </c>
      <c r="C5" s="24" t="s">
        <v>717</v>
      </c>
      <c r="D5" s="25" t="s">
        <v>814</v>
      </c>
    </row>
    <row r="6" spans="1:4" x14ac:dyDescent="0.25">
      <c r="A6" s="29" t="s">
        <v>722</v>
      </c>
      <c r="B6" s="26" t="s">
        <v>342</v>
      </c>
      <c r="C6" s="26" t="s">
        <v>77</v>
      </c>
      <c r="D6" s="30" t="s">
        <v>815</v>
      </c>
    </row>
    <row r="7" spans="1:4" x14ac:dyDescent="0.25">
      <c r="A7" s="31" t="s">
        <v>722</v>
      </c>
      <c r="B7" s="27" t="s">
        <v>342</v>
      </c>
      <c r="C7" s="27" t="s">
        <v>81</v>
      </c>
      <c r="D7" s="32" t="s">
        <v>816</v>
      </c>
    </row>
    <row r="8" spans="1:4" x14ac:dyDescent="0.25">
      <c r="A8" s="31" t="s">
        <v>722</v>
      </c>
      <c r="B8" s="27" t="s">
        <v>342</v>
      </c>
      <c r="C8" s="27" t="s">
        <v>79</v>
      </c>
      <c r="D8" s="32" t="s">
        <v>817</v>
      </c>
    </row>
    <row r="9" spans="1:4" x14ac:dyDescent="0.25">
      <c r="A9" s="31" t="s">
        <v>818</v>
      </c>
      <c r="B9" s="27" t="s">
        <v>342</v>
      </c>
      <c r="C9" s="27" t="s">
        <v>77</v>
      </c>
      <c r="D9" s="32" t="s">
        <v>819</v>
      </c>
    </row>
    <row r="10" spans="1:4" x14ac:dyDescent="0.25">
      <c r="A10" s="31" t="s">
        <v>818</v>
      </c>
      <c r="B10" s="27" t="s">
        <v>339</v>
      </c>
      <c r="C10" s="27" t="s">
        <v>81</v>
      </c>
      <c r="D10" s="32" t="s">
        <v>820</v>
      </c>
    </row>
    <row r="11" spans="1:4" x14ac:dyDescent="0.25">
      <c r="A11" s="31" t="s">
        <v>818</v>
      </c>
      <c r="B11" s="27" t="s">
        <v>436</v>
      </c>
      <c r="C11" s="27" t="s">
        <v>79</v>
      </c>
      <c r="D11" s="32" t="s">
        <v>821</v>
      </c>
    </row>
    <row r="12" spans="1:4" x14ac:dyDescent="0.25">
      <c r="A12" s="31" t="s">
        <v>7</v>
      </c>
      <c r="B12" s="27" t="s">
        <v>342</v>
      </c>
      <c r="C12" s="27" t="s">
        <v>77</v>
      </c>
      <c r="D12" s="32" t="s">
        <v>822</v>
      </c>
    </row>
    <row r="13" spans="1:4" x14ac:dyDescent="0.25">
      <c r="A13" s="31" t="s">
        <v>7</v>
      </c>
      <c r="B13" s="27" t="s">
        <v>339</v>
      </c>
      <c r="C13" s="27" t="s">
        <v>81</v>
      </c>
      <c r="D13" s="32" t="s">
        <v>823</v>
      </c>
    </row>
    <row r="14" spans="1:4" x14ac:dyDescent="0.25">
      <c r="A14" s="31" t="s">
        <v>7</v>
      </c>
      <c r="B14" s="27" t="s">
        <v>342</v>
      </c>
      <c r="C14" s="27" t="s">
        <v>79</v>
      </c>
      <c r="D14" s="32" t="s">
        <v>824</v>
      </c>
    </row>
    <row r="15" spans="1:4" x14ac:dyDescent="0.25">
      <c r="A15" s="31" t="s">
        <v>76</v>
      </c>
      <c r="B15" s="27" t="s">
        <v>342</v>
      </c>
      <c r="C15" s="27" t="s">
        <v>77</v>
      </c>
      <c r="D15" s="32" t="s">
        <v>825</v>
      </c>
    </row>
    <row r="16" spans="1:4" x14ac:dyDescent="0.25">
      <c r="A16" s="31" t="s">
        <v>76</v>
      </c>
      <c r="B16" s="27" t="s">
        <v>339</v>
      </c>
      <c r="C16" s="27" t="s">
        <v>81</v>
      </c>
      <c r="D16" s="32" t="s">
        <v>826</v>
      </c>
    </row>
    <row r="17" spans="1:4" x14ac:dyDescent="0.25">
      <c r="A17" s="33" t="s">
        <v>76</v>
      </c>
      <c r="B17" s="28"/>
      <c r="C17" s="28" t="s">
        <v>79</v>
      </c>
      <c r="D17" s="34" t="s">
        <v>827</v>
      </c>
    </row>
    <row r="18" spans="1:4" x14ac:dyDescent="0.25">
      <c r="A18" s="31" t="s">
        <v>6</v>
      </c>
      <c r="B18" s="27" t="s">
        <v>436</v>
      </c>
      <c r="C18" s="27" t="s">
        <v>725</v>
      </c>
      <c r="D18" s="32" t="s">
        <v>828</v>
      </c>
    </row>
    <row r="19" spans="1:4" x14ac:dyDescent="0.25">
      <c r="A19" s="31" t="s">
        <v>818</v>
      </c>
      <c r="B19" s="27"/>
      <c r="C19" s="27" t="s">
        <v>725</v>
      </c>
      <c r="D19" s="32" t="s">
        <v>829</v>
      </c>
    </row>
    <row r="20" spans="1:4" ht="30" x14ac:dyDescent="0.25">
      <c r="A20" s="31" t="s">
        <v>7</v>
      </c>
      <c r="B20" s="27" t="s">
        <v>436</v>
      </c>
      <c r="C20" s="27" t="s">
        <v>725</v>
      </c>
      <c r="D20" s="32" t="s">
        <v>830</v>
      </c>
    </row>
    <row r="21" spans="1:4" x14ac:dyDescent="0.25">
      <c r="A21" s="35" t="s">
        <v>76</v>
      </c>
      <c r="B21" s="36"/>
      <c r="C21" s="36" t="s">
        <v>725</v>
      </c>
      <c r="D21" s="37" t="s">
        <v>831</v>
      </c>
    </row>
    <row r="26" spans="1:4" x14ac:dyDescent="0.25">
      <c r="A26" s="23" t="s">
        <v>748</v>
      </c>
      <c r="B26" s="24" t="s">
        <v>63</v>
      </c>
      <c r="C26" s="24" t="s">
        <v>832</v>
      </c>
      <c r="D26" s="25" t="s">
        <v>833</v>
      </c>
    </row>
    <row r="27" spans="1:4" ht="30" x14ac:dyDescent="0.25">
      <c r="A27" s="38" t="s">
        <v>834</v>
      </c>
      <c r="B27" s="39"/>
      <c r="C27" s="39" t="s">
        <v>835</v>
      </c>
      <c r="D27" s="30" t="s">
        <v>753</v>
      </c>
    </row>
    <row r="28" spans="1:4" x14ac:dyDescent="0.25">
      <c r="A28" s="40"/>
      <c r="B28" s="41"/>
      <c r="C28" s="41" t="s">
        <v>758</v>
      </c>
      <c r="D28" s="32"/>
    </row>
    <row r="29" spans="1:4" x14ac:dyDescent="0.25">
      <c r="A29" s="40"/>
      <c r="B29" s="41"/>
      <c r="C29" s="41" t="s">
        <v>759</v>
      </c>
      <c r="D29" s="32"/>
    </row>
    <row r="30" spans="1:4" x14ac:dyDescent="0.25">
      <c r="A30" s="40"/>
      <c r="B30" s="41"/>
      <c r="C30" s="41" t="s">
        <v>754</v>
      </c>
      <c r="D30" s="32"/>
    </row>
    <row r="31" spans="1:4" x14ac:dyDescent="0.25">
      <c r="A31" s="40"/>
      <c r="B31" s="41"/>
      <c r="C31" s="41" t="s">
        <v>755</v>
      </c>
      <c r="D31" s="32"/>
    </row>
    <row r="32" spans="1:4" x14ac:dyDescent="0.25">
      <c r="A32" s="42"/>
      <c r="B32" s="43"/>
      <c r="C32" s="43" t="s">
        <v>836</v>
      </c>
      <c r="D32" s="34"/>
    </row>
    <row r="33" spans="1:4" x14ac:dyDescent="0.25">
      <c r="A33" s="44" t="s">
        <v>763</v>
      </c>
      <c r="B33" s="45"/>
      <c r="C33" s="45" t="s">
        <v>764</v>
      </c>
      <c r="D33" s="46" t="s">
        <v>765</v>
      </c>
    </row>
    <row r="34" spans="1:4" x14ac:dyDescent="0.25">
      <c r="A34" s="40"/>
      <c r="B34" s="41"/>
      <c r="C34" s="41" t="s">
        <v>766</v>
      </c>
      <c r="D34" s="32"/>
    </row>
    <row r="35" spans="1:4" x14ac:dyDescent="0.25">
      <c r="A35" s="40"/>
      <c r="B35" s="41"/>
      <c r="C35" s="41" t="s">
        <v>767</v>
      </c>
      <c r="D35" s="32"/>
    </row>
    <row r="36" spans="1:4" x14ac:dyDescent="0.25">
      <c r="A36" s="40"/>
      <c r="B36" s="41"/>
      <c r="C36" s="41" t="s">
        <v>768</v>
      </c>
      <c r="D36" s="32"/>
    </row>
    <row r="37" spans="1:4" ht="30" x14ac:dyDescent="0.25">
      <c r="A37" s="40"/>
      <c r="B37" s="41"/>
      <c r="C37" s="41" t="s">
        <v>769</v>
      </c>
      <c r="D37" s="32"/>
    </row>
    <row r="38" spans="1:4" x14ac:dyDescent="0.25">
      <c r="A38" s="40"/>
      <c r="B38" s="41"/>
      <c r="C38" s="41" t="s">
        <v>770</v>
      </c>
      <c r="D38" s="32"/>
    </row>
    <row r="39" spans="1:4" x14ac:dyDescent="0.25">
      <c r="A39" s="40"/>
      <c r="B39" s="41"/>
      <c r="C39" s="41" t="s">
        <v>771</v>
      </c>
      <c r="D39" s="32"/>
    </row>
    <row r="40" spans="1:4" ht="30" x14ac:dyDescent="0.25">
      <c r="A40" s="42"/>
      <c r="B40" s="43"/>
      <c r="C40" s="43" t="s">
        <v>772</v>
      </c>
      <c r="D40" s="34"/>
    </row>
    <row r="41" spans="1:4" x14ac:dyDescent="0.25">
      <c r="A41" s="44" t="s">
        <v>837</v>
      </c>
      <c r="B41" s="45"/>
      <c r="C41" s="45" t="s">
        <v>838</v>
      </c>
      <c r="D41" s="46"/>
    </row>
    <row r="42" spans="1:4" x14ac:dyDescent="0.25">
      <c r="A42" s="49"/>
      <c r="B42" s="50"/>
      <c r="C42" s="50" t="s">
        <v>839</v>
      </c>
      <c r="D42" s="51"/>
    </row>
    <row r="43" spans="1:4" x14ac:dyDescent="0.25">
      <c r="A43" s="40"/>
      <c r="B43" s="41"/>
      <c r="C43" s="41" t="s">
        <v>840</v>
      </c>
      <c r="D43" s="32"/>
    </row>
    <row r="44" spans="1:4" x14ac:dyDescent="0.25">
      <c r="A44" s="47"/>
      <c r="B44" s="48"/>
      <c r="C44" s="48" t="s">
        <v>789</v>
      </c>
      <c r="D44" s="37"/>
    </row>
  </sheetData>
  <sortState xmlns:xlrd2="http://schemas.microsoft.com/office/spreadsheetml/2017/richdata2" ref="A6:D11">
    <sortCondition ref="A6:A11"/>
    <sortCondition ref="B6:B11"/>
    <sortCondition ref="C6:C11"/>
  </sortState>
  <pageMargins left="0.7" right="0.7" top="0.75" bottom="0.75" header="0.3" footer="0.3"/>
  <pageSetup scale="72"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BE53E707-1302-4727-ACCA-663179C3F2DE}">
          <x14:formula1>
            <xm:f>'Dropdown Menus'!$C$2:$C$8</xm:f>
          </x14:formula1>
          <xm:sqref>A6:A21 A118:A158</xm:sqref>
        </x14:dataValidation>
        <x14:dataValidation type="list" allowBlank="1" showInputMessage="1" showErrorMessage="1" xr:uid="{6629CF64-7399-4ABE-8C59-0E40FFC0EAB7}">
          <x14:formula1>
            <xm:f>'Dropdown Menus'!$H$2:$H$8</xm:f>
          </x14:formula1>
          <xm:sqref>B6:B21</xm:sqref>
        </x14:dataValidation>
        <x14:dataValidation type="list" allowBlank="1" showInputMessage="1" showErrorMessage="1" xr:uid="{3C16BC61-A076-43D3-8444-5D4DA15F7E48}">
          <x14:formula1>
            <xm:f>'Dropdown Menus'!$D$2:$D$6</xm:f>
          </x14:formula1>
          <xm:sqref>C6:C21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B4C9F-1029-43D9-9214-994D4250845B}">
  <sheetPr>
    <tabColor theme="8" tint="0.39997558519241921"/>
  </sheetPr>
  <dimension ref="A1:C25"/>
  <sheetViews>
    <sheetView zoomScale="130" zoomScaleNormal="130" zoomScaleSheetLayoutView="145" workbookViewId="0"/>
  </sheetViews>
  <sheetFormatPr defaultColWidth="9.140625" defaultRowHeight="12" x14ac:dyDescent="0.2"/>
  <cols>
    <col min="1" max="1" width="30.140625" style="134" bestFit="1" customWidth="1"/>
    <col min="2" max="2" width="17" style="134" bestFit="1" customWidth="1"/>
    <col min="3" max="3" width="37.140625" style="134" bestFit="1" customWidth="1"/>
    <col min="4" max="16384" width="9.140625" style="134"/>
  </cols>
  <sheetData>
    <row r="1" spans="1:3" x14ac:dyDescent="0.2">
      <c r="A1" s="133" t="s">
        <v>941</v>
      </c>
      <c r="C1" s="210"/>
    </row>
    <row r="2" spans="1:3" x14ac:dyDescent="0.2">
      <c r="A2" s="133" t="s">
        <v>2</v>
      </c>
    </row>
    <row r="3" spans="1:3" x14ac:dyDescent="0.2">
      <c r="A3" s="135" t="str">
        <f>INSTRUCTIONS!A3</f>
        <v>March 2022</v>
      </c>
    </row>
    <row r="4" spans="1:3" x14ac:dyDescent="0.2">
      <c r="A4" s="154" t="s">
        <v>32</v>
      </c>
    </row>
    <row r="6" spans="1:3" x14ac:dyDescent="0.2">
      <c r="A6" s="133" t="s">
        <v>33</v>
      </c>
      <c r="B6" s="236">
        <v>0.4</v>
      </c>
    </row>
    <row r="9" spans="1:3" x14ac:dyDescent="0.2">
      <c r="A9" s="258" t="s">
        <v>34</v>
      </c>
      <c r="B9" s="259"/>
    </row>
    <row r="10" spans="1:3" x14ac:dyDescent="0.2">
      <c r="A10" s="169" t="s">
        <v>35</v>
      </c>
      <c r="B10" s="260">
        <f>'By Journalist'!J46</f>
        <v>31526619833.046753</v>
      </c>
    </row>
    <row r="11" spans="1:3" x14ac:dyDescent="0.2">
      <c r="A11" s="261" t="s">
        <v>36</v>
      </c>
      <c r="B11" s="262">
        <f>'By Journalist'!J55</f>
        <v>21017746555.364502</v>
      </c>
    </row>
    <row r="12" spans="1:3" ht="12.75" thickBot="1" x14ac:dyDescent="0.25">
      <c r="A12" s="263" t="s">
        <v>37</v>
      </c>
      <c r="B12" s="264">
        <f>SUM(B10:B11)</f>
        <v>52544366388.411255</v>
      </c>
    </row>
    <row r="13" spans="1:3" ht="12.75" thickTop="1" x14ac:dyDescent="0.2">
      <c r="A13" s="169" t="s">
        <v>38</v>
      </c>
      <c r="B13" s="265">
        <f>'By Journalist'!J28</f>
        <v>328202.5</v>
      </c>
    </row>
    <row r="14" spans="1:3" x14ac:dyDescent="0.2">
      <c r="A14" s="261" t="s">
        <v>39</v>
      </c>
      <c r="B14" s="266">
        <f>'By Journalist'!J37</f>
        <v>218801.66666666672</v>
      </c>
    </row>
    <row r="15" spans="1:3" ht="12.75" thickBot="1" x14ac:dyDescent="0.25">
      <c r="A15" s="263" t="s">
        <v>40</v>
      </c>
      <c r="B15" s="269">
        <f>SUM(B13:B14)</f>
        <v>547004.16666666674</v>
      </c>
    </row>
    <row r="16" spans="1:3" ht="12.75" thickTop="1" x14ac:dyDescent="0.2">
      <c r="A16" s="267" t="s">
        <v>41</v>
      </c>
      <c r="B16" s="268">
        <f>B6*B12</f>
        <v>21017746555.364502</v>
      </c>
    </row>
    <row r="17" spans="1:2" x14ac:dyDescent="0.2">
      <c r="A17" s="315"/>
      <c r="B17" s="201"/>
    </row>
    <row r="18" spans="1:2" x14ac:dyDescent="0.2">
      <c r="A18" s="258" t="s">
        <v>42</v>
      </c>
      <c r="B18" s="259"/>
    </row>
    <row r="19" spans="1:2" x14ac:dyDescent="0.2">
      <c r="A19" s="169" t="s">
        <v>35</v>
      </c>
      <c r="B19" s="260">
        <f>'By Org Type - Regional National'!B37+'By Org Type - State Local'!I63</f>
        <v>23680668550.557423</v>
      </c>
    </row>
    <row r="20" spans="1:2" x14ac:dyDescent="0.2">
      <c r="A20" s="261" t="s">
        <v>36</v>
      </c>
      <c r="B20" s="262">
        <f>'By Org Type - Regional National'!C37+'By Org Type - State Local'!I83</f>
        <v>16913314924.631643</v>
      </c>
    </row>
    <row r="21" spans="1:2" ht="12.75" thickBot="1" x14ac:dyDescent="0.25">
      <c r="A21" s="263" t="s">
        <v>37</v>
      </c>
      <c r="B21" s="264">
        <f>SUM(B19:B20)</f>
        <v>40593983475.189064</v>
      </c>
    </row>
    <row r="22" spans="1:2" ht="12.75" thickTop="1" x14ac:dyDescent="0.2">
      <c r="A22" s="169" t="s">
        <v>38</v>
      </c>
      <c r="B22" s="265">
        <f>'By Org Type - Regional National'!E37+'By Org Type - State Local'!I123</f>
        <v>307466.2017419209</v>
      </c>
    </row>
    <row r="23" spans="1:2" x14ac:dyDescent="0.2">
      <c r="A23" s="261" t="s">
        <v>39</v>
      </c>
      <c r="B23" s="266">
        <f>'By Org Type - Regional National'!F37+'By Org Type - State Local'!I143</f>
        <v>205052.46782794729</v>
      </c>
    </row>
    <row r="24" spans="1:2" ht="12.75" thickBot="1" x14ac:dyDescent="0.25">
      <c r="A24" s="263" t="s">
        <v>40</v>
      </c>
      <c r="B24" s="269">
        <f>SUM(B22:B23)</f>
        <v>512518.66956986819</v>
      </c>
    </row>
    <row r="25" spans="1:2" ht="12.75" thickTop="1" x14ac:dyDescent="0.2">
      <c r="A25" s="267" t="s">
        <v>41</v>
      </c>
      <c r="B25" s="268">
        <f>B21*B6</f>
        <v>16237593390.075626</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16AA8-365E-47CB-AB2D-C3D622C54F47}">
  <sheetPr>
    <tabColor theme="8" tint="0.39997558519241921"/>
  </sheetPr>
  <dimension ref="A1:K87"/>
  <sheetViews>
    <sheetView view="pageBreakPreview" zoomScale="145" zoomScaleNormal="130" zoomScaleSheetLayoutView="145" workbookViewId="0"/>
  </sheetViews>
  <sheetFormatPr defaultColWidth="9.140625" defaultRowHeight="12" x14ac:dyDescent="0.2"/>
  <cols>
    <col min="1" max="1" width="18" style="134" customWidth="1"/>
    <col min="2" max="5" width="14.7109375" style="134" customWidth="1"/>
    <col min="6" max="6" width="16.42578125" style="134" bestFit="1" customWidth="1"/>
    <col min="7" max="9" width="14.7109375" style="134" customWidth="1"/>
    <col min="10" max="10" width="13.140625" style="134" bestFit="1" customWidth="1"/>
    <col min="11" max="16384" width="9.140625" style="134"/>
  </cols>
  <sheetData>
    <row r="1" spans="1:10" x14ac:dyDescent="0.2">
      <c r="A1" s="133" t="s">
        <v>941</v>
      </c>
      <c r="J1" s="210"/>
    </row>
    <row r="2" spans="1:10" x14ac:dyDescent="0.2">
      <c r="A2" s="133" t="s">
        <v>2</v>
      </c>
    </row>
    <row r="3" spans="1:10" x14ac:dyDescent="0.2">
      <c r="A3" s="135" t="str">
        <f>INSTRUCTIONS!A3</f>
        <v>March 2022</v>
      </c>
    </row>
    <row r="4" spans="1:10" x14ac:dyDescent="0.2">
      <c r="A4" s="154" t="s">
        <v>43</v>
      </c>
    </row>
    <row r="5" spans="1:10" ht="12.75" thickBot="1" x14ac:dyDescent="0.25"/>
    <row r="6" spans="1:10" ht="24.75" thickBot="1" x14ac:dyDescent="0.25">
      <c r="A6" s="159" t="s">
        <v>894</v>
      </c>
      <c r="B6" s="158">
        <f>Assumptions!B14</f>
        <v>7</v>
      </c>
    </row>
    <row r="7" spans="1:10" ht="24.75" thickBot="1" x14ac:dyDescent="0.25">
      <c r="A7" s="159" t="s">
        <v>44</v>
      </c>
      <c r="B7" s="158">
        <f>Assumptions!B23</f>
        <v>6</v>
      </c>
    </row>
    <row r="9" spans="1:10" x14ac:dyDescent="0.2">
      <c r="A9" s="140" t="s">
        <v>45</v>
      </c>
      <c r="B9" s="140"/>
      <c r="C9" s="140"/>
      <c r="E9" s="140" t="s">
        <v>847</v>
      </c>
      <c r="F9" s="141"/>
      <c r="G9" s="141"/>
    </row>
    <row r="10" spans="1:10" ht="29.45" customHeight="1" thickBot="1" x14ac:dyDescent="0.25">
      <c r="A10" s="157" t="s">
        <v>46</v>
      </c>
      <c r="B10" s="157" t="s">
        <v>892</v>
      </c>
      <c r="C10" s="157" t="s">
        <v>48</v>
      </c>
      <c r="E10" s="145" t="s">
        <v>147</v>
      </c>
      <c r="F10" s="145" t="s">
        <v>148</v>
      </c>
      <c r="G10" s="143" t="s">
        <v>149</v>
      </c>
    </row>
    <row r="11" spans="1:10" ht="12.75" thickBot="1" x14ac:dyDescent="0.25">
      <c r="A11" s="134" t="s">
        <v>49</v>
      </c>
      <c r="B11" s="160"/>
      <c r="C11" s="160"/>
      <c r="E11" s="134" t="s">
        <v>61</v>
      </c>
      <c r="F11" s="144" t="s">
        <v>150</v>
      </c>
      <c r="G11" s="335">
        <f>'Coverage Units by State Size'!D8</f>
        <v>0.5</v>
      </c>
    </row>
    <row r="12" spans="1:10" ht="12.75" thickBot="1" x14ac:dyDescent="0.25">
      <c r="A12" s="134" t="s">
        <v>50</v>
      </c>
      <c r="B12" s="160">
        <v>1</v>
      </c>
      <c r="C12" s="160"/>
      <c r="E12" s="134" t="s">
        <v>62</v>
      </c>
      <c r="F12" s="144" t="s">
        <v>151</v>
      </c>
      <c r="G12" s="335">
        <f>'Coverage Units by State Size'!D9</f>
        <v>1</v>
      </c>
    </row>
    <row r="13" spans="1:10" ht="12.75" thickBot="1" x14ac:dyDescent="0.25">
      <c r="A13" s="134" t="s">
        <v>51</v>
      </c>
      <c r="B13" s="161">
        <v>1</v>
      </c>
      <c r="C13" s="161"/>
      <c r="E13" s="134" t="s">
        <v>63</v>
      </c>
      <c r="F13" s="144" t="s">
        <v>152</v>
      </c>
      <c r="G13" s="335">
        <f>'Coverage Units by State Size'!D10</f>
        <v>2</v>
      </c>
    </row>
    <row r="14" spans="1:10" ht="12.75" thickBot="1" x14ac:dyDescent="0.25">
      <c r="A14" s="134" t="s">
        <v>52</v>
      </c>
      <c r="B14" s="161"/>
      <c r="C14" s="161"/>
      <c r="E14" s="134" t="s">
        <v>64</v>
      </c>
      <c r="F14" s="144" t="s">
        <v>153</v>
      </c>
      <c r="G14" s="335">
        <f>'Coverage Units by State Size'!D11</f>
        <v>3</v>
      </c>
    </row>
    <row r="15" spans="1:10" ht="12.75" thickBot="1" x14ac:dyDescent="0.25">
      <c r="A15" s="134" t="s">
        <v>53</v>
      </c>
      <c r="B15" s="161">
        <v>1</v>
      </c>
      <c r="C15" s="161"/>
      <c r="E15" s="134" t="s">
        <v>65</v>
      </c>
      <c r="F15" s="144" t="s">
        <v>154</v>
      </c>
      <c r="G15" s="335">
        <f>'Coverage Units by State Size'!D12</f>
        <v>4</v>
      </c>
    </row>
    <row r="16" spans="1:10" ht="12.75" thickBot="1" x14ac:dyDescent="0.25">
      <c r="A16" s="134" t="s">
        <v>54</v>
      </c>
      <c r="B16" s="162">
        <v>1</v>
      </c>
      <c r="C16" s="162"/>
      <c r="F16" s="133"/>
    </row>
    <row r="17" spans="1:11" ht="12.75" thickBot="1" x14ac:dyDescent="0.25">
      <c r="A17" s="134" t="s">
        <v>55</v>
      </c>
      <c r="B17" s="161">
        <v>1</v>
      </c>
      <c r="C17" s="161"/>
    </row>
    <row r="18" spans="1:11" ht="12.75" thickBot="1" x14ac:dyDescent="0.25">
      <c r="A18" s="134" t="s">
        <v>56</v>
      </c>
      <c r="B18" s="161">
        <v>1</v>
      </c>
      <c r="C18" s="161"/>
    </row>
    <row r="20" spans="1:11" x14ac:dyDescent="0.2">
      <c r="A20" s="140" t="s">
        <v>57</v>
      </c>
      <c r="B20" s="140"/>
      <c r="C20" s="140"/>
      <c r="D20" s="140"/>
      <c r="E20" s="140"/>
      <c r="F20" s="140"/>
      <c r="G20" s="140"/>
      <c r="H20" s="140"/>
      <c r="I20" s="140"/>
      <c r="J20" s="140"/>
    </row>
    <row r="21" spans="1:11" ht="24" x14ac:dyDescent="0.2">
      <c r="A21" s="147" t="s">
        <v>58</v>
      </c>
      <c r="B21" s="147" t="s">
        <v>59</v>
      </c>
      <c r="C21" s="147" t="s">
        <v>50</v>
      </c>
      <c r="D21" s="147" t="s">
        <v>51</v>
      </c>
      <c r="E21" s="147" t="s">
        <v>52</v>
      </c>
      <c r="F21" s="147" t="s">
        <v>53</v>
      </c>
      <c r="G21" s="147" t="s">
        <v>54</v>
      </c>
      <c r="H21" s="147" t="s">
        <v>55</v>
      </c>
      <c r="I21" s="147" t="s">
        <v>56</v>
      </c>
      <c r="J21" s="147" t="s">
        <v>60</v>
      </c>
    </row>
    <row r="22" spans="1:11" s="333" customFormat="1" ht="11.25" x14ac:dyDescent="0.2">
      <c r="A22" s="334" t="s">
        <v>846</v>
      </c>
      <c r="B22" s="334" t="s">
        <v>844</v>
      </c>
      <c r="C22" s="334" t="s">
        <v>844</v>
      </c>
      <c r="D22" s="334" t="s">
        <v>845</v>
      </c>
      <c r="E22" s="334" t="s">
        <v>845</v>
      </c>
      <c r="F22" s="334" t="s">
        <v>844</v>
      </c>
      <c r="G22" s="334" t="s">
        <v>844</v>
      </c>
      <c r="H22" s="334" t="s">
        <v>845</v>
      </c>
      <c r="I22" s="334" t="s">
        <v>845</v>
      </c>
      <c r="J22" s="332"/>
    </row>
    <row r="23" spans="1:11" x14ac:dyDescent="0.2">
      <c r="A23" s="134" t="s">
        <v>61</v>
      </c>
      <c r="B23" s="136">
        <f>('Coverage Units by State Size'!D16)*(($B$11*$B$6)+($C$11*$B$7))</f>
        <v>0</v>
      </c>
      <c r="C23" s="240">
        <f>'Coverage Units by State Size'!E16*(($B$12*$B$6)+($C$12*$B$7))</f>
        <v>42</v>
      </c>
      <c r="D23" s="240">
        <f>'Coverage Units by State Size'!F16*(($B$13*G11)+($C$13*$B$7*G11))</f>
        <v>368.5</v>
      </c>
      <c r="E23" s="240">
        <f>'Coverage Units by State Size'!G16*(($B$14*$B$6*G11)+($C$14*$B$7*G11))</f>
        <v>0</v>
      </c>
      <c r="F23" s="240">
        <f>'Coverage Units by State Size'!H16*(($B$15*$B$6)+($C$15*$B$7))</f>
        <v>17129</v>
      </c>
      <c r="G23" s="240">
        <f>'Coverage Units by State Size'!I16*(($B$16*$B$6)+($C$16*$B$7))</f>
        <v>7112</v>
      </c>
      <c r="H23" s="240">
        <f>'Coverage Units by State Size'!J16*(($B$17*$B$6*G11)+($C$17*$B$7*G11))</f>
        <v>609</v>
      </c>
      <c r="I23" s="240">
        <f>'Coverage Units by State Size'!K16*(($B$18*$B$6*G11)+($C$18*$B$7*G11))</f>
        <v>21</v>
      </c>
      <c r="J23" s="153">
        <f>SUM(B23:I23)</f>
        <v>25281.5</v>
      </c>
    </row>
    <row r="24" spans="1:11" x14ac:dyDescent="0.2">
      <c r="A24" s="134" t="s">
        <v>62</v>
      </c>
      <c r="B24" s="136">
        <f>('Coverage Units by State Size'!D17)*(($B$11*$B$6)+($C$11*$B$7))</f>
        <v>0</v>
      </c>
      <c r="C24" s="240">
        <f>'Coverage Units by State Size'!E17*(($B$12*$B$6)+($C$12*$B$7))</f>
        <v>546</v>
      </c>
      <c r="D24" s="240">
        <f>'Coverage Units by State Size'!F17*(($B$13*G12)+($C$13*$B$7*G12))</f>
        <v>3749</v>
      </c>
      <c r="E24" s="240">
        <f>'Coverage Units by State Size'!G17*(($B$14*$B$6*G12)+($C$14*$B$7*G12))</f>
        <v>0</v>
      </c>
      <c r="F24" s="240">
        <f>'Coverage Units by State Size'!H17*(($B$15*$B$6)+($C$15*$B$7))</f>
        <v>17479</v>
      </c>
      <c r="G24" s="240">
        <f>'Coverage Units by State Size'!I17*(($B$16*$B$6)+($C$16*$B$7))</f>
        <v>41426</v>
      </c>
      <c r="H24" s="240">
        <f>'Coverage Units by State Size'!J17*(($B$17*$B$6*G12)+($C$17*$B$7*G12))</f>
        <v>7490</v>
      </c>
      <c r="I24" s="240">
        <f>'Coverage Units by State Size'!K17*(($B$18*$B$6*G12)+($C$18*$B$7*G12))</f>
        <v>147</v>
      </c>
      <c r="J24" s="153">
        <f>SUM(B24:I24)</f>
        <v>70837</v>
      </c>
    </row>
    <row r="25" spans="1:11" x14ac:dyDescent="0.2">
      <c r="A25" s="134" t="s">
        <v>63</v>
      </c>
      <c r="B25" s="136">
        <f>('Coverage Units by State Size'!D18)*(($B$11*$B$6)+($C$11*$B$7))</f>
        <v>0</v>
      </c>
      <c r="C25" s="240">
        <f>'Coverage Units by State Size'!E18*(($B$12*$B$6)+($C$12*$B$7))</f>
        <v>903</v>
      </c>
      <c r="D25" s="240">
        <f>'Coverage Units by State Size'!F18*(($B$13*G13)+($C$13*$B$7*G13))</f>
        <v>8406</v>
      </c>
      <c r="E25" s="240">
        <f>'Coverage Units by State Size'!G18*(($B$14*$B$6*G13)+($C$14*$B$7*G13))</f>
        <v>0</v>
      </c>
      <c r="F25" s="240">
        <f>'Coverage Units by State Size'!H18*(($B$15*$B$6)+($C$15*$B$7))</f>
        <v>42679</v>
      </c>
      <c r="G25" s="240">
        <f>'Coverage Units by State Size'!I18*(($B$16*$B$6)+($C$16*$B$7))</f>
        <v>38626</v>
      </c>
      <c r="H25" s="240">
        <f>'Coverage Units by State Size'!J18*(($B$17*$B$6*G13)+($C$17*$B$7*G13))</f>
        <v>11830</v>
      </c>
      <c r="I25" s="240">
        <f>'Coverage Units by State Size'!K18*(($B$18*$B$6*G13)+($C$18*$B$7*G13))</f>
        <v>196</v>
      </c>
      <c r="J25" s="153">
        <f>SUM(B25:I25)</f>
        <v>102640</v>
      </c>
    </row>
    <row r="26" spans="1:11" x14ac:dyDescent="0.2">
      <c r="A26" s="134" t="s">
        <v>64</v>
      </c>
      <c r="B26" s="136">
        <f>('Coverage Units by State Size'!D19)*(($B$11*$B$6)+($C$11*$B$7))</f>
        <v>0</v>
      </c>
      <c r="C26" s="240">
        <f>'Coverage Units by State Size'!E19*(($B$12*$B$6)+($C$12*$B$7))</f>
        <v>553</v>
      </c>
      <c r="D26" s="240">
        <f>'Coverage Units by State Size'!F19*(($B$13*G14)+($C$13*$B$7*G14))</f>
        <v>7260</v>
      </c>
      <c r="E26" s="240">
        <f>'Coverage Units by State Size'!G19*(($B$14*$B$6*G14)+($C$14*$B$7*G14))</f>
        <v>0</v>
      </c>
      <c r="F26" s="240">
        <f>'Coverage Units by State Size'!H19*(($B$15*$B$6)+($C$15*$B$7))</f>
        <v>29981</v>
      </c>
      <c r="G26" s="240">
        <f>'Coverage Units by State Size'!I19*(($B$16*$B$6)+($C$16*$B$7))</f>
        <v>30310</v>
      </c>
      <c r="H26" s="240">
        <f>'Coverage Units by State Size'!J19*(($B$17*$B$6*G14)+($C$17*$B$7*G14))</f>
        <v>10668</v>
      </c>
      <c r="I26" s="240">
        <f>'Coverage Units by State Size'!K19*(($B$18*$B$6*G14)+($C$18*$B$7*G14))</f>
        <v>105</v>
      </c>
      <c r="J26" s="153">
        <f>SUM(B26:I26)</f>
        <v>78877</v>
      </c>
    </row>
    <row r="27" spans="1:11" x14ac:dyDescent="0.2">
      <c r="A27" s="137" t="s">
        <v>65</v>
      </c>
      <c r="B27" s="138">
        <f>('Coverage Units by State Size'!D20)*(($B$11*$B$6)+($C$11*$B$7))</f>
        <v>0</v>
      </c>
      <c r="C27" s="138">
        <f>'Coverage Units by State Size'!E20*(($B$12*$B$6)+($C$12*$B$7))</f>
        <v>1001</v>
      </c>
      <c r="D27" s="138">
        <f>'Coverage Units by State Size'!F20*(($B$13*G15)+($C$13*$B$7*G15))</f>
        <v>11808</v>
      </c>
      <c r="E27" s="138">
        <f>'Coverage Units by State Size'!G20*(($B$14*$B$6*G15)+($C$14*$B$7*G15))</f>
        <v>0</v>
      </c>
      <c r="F27" s="138">
        <f>'Coverage Units by State Size'!H20*(($B$15*$B$6)+($C$15*$B$7))</f>
        <v>6503</v>
      </c>
      <c r="G27" s="138">
        <f>'Coverage Units by State Size'!I20*(($B$16*$B$6)+($C$16*$B$7))</f>
        <v>18991</v>
      </c>
      <c r="H27" s="138">
        <f>'Coverage Units by State Size'!J20*(($B$17*$B$6*G15)+($C$17*$B$7*G15))</f>
        <v>12152</v>
      </c>
      <c r="I27" s="138">
        <f>'Coverage Units by State Size'!K20*(($B$18*$B$6*G15)+($C$18*$B$7*G15))</f>
        <v>112</v>
      </c>
      <c r="J27" s="251">
        <f>SUM(B27:I27)</f>
        <v>50567</v>
      </c>
    </row>
    <row r="28" spans="1:11" x14ac:dyDescent="0.2">
      <c r="A28" s="133" t="s">
        <v>60</v>
      </c>
      <c r="B28" s="155">
        <f>SUM(B23:B27)</f>
        <v>0</v>
      </c>
      <c r="C28" s="155">
        <f t="shared" ref="C28:J28" si="0">SUM(C23:C27)</f>
        <v>3045</v>
      </c>
      <c r="D28" s="155">
        <f t="shared" si="0"/>
        <v>31591.5</v>
      </c>
      <c r="E28" s="155">
        <f>SUM(E23:E27)</f>
        <v>0</v>
      </c>
      <c r="F28" s="155">
        <f>SUM(F23:F27)</f>
        <v>113771</v>
      </c>
      <c r="G28" s="155">
        <f t="shared" si="0"/>
        <v>136465</v>
      </c>
      <c r="H28" s="155">
        <f t="shared" si="0"/>
        <v>42749</v>
      </c>
      <c r="I28" s="155">
        <f>SUM(I23:I27)</f>
        <v>581</v>
      </c>
      <c r="J28" s="155">
        <f t="shared" si="0"/>
        <v>328202.5</v>
      </c>
    </row>
    <row r="30" spans="1:11" x14ac:dyDescent="0.2">
      <c r="A30" s="140" t="s">
        <v>66</v>
      </c>
      <c r="B30" s="140"/>
      <c r="C30" s="140"/>
      <c r="D30" s="140"/>
      <c r="E30" s="140"/>
      <c r="F30" s="140"/>
      <c r="G30" s="140"/>
      <c r="H30" s="140"/>
      <c r="I30" s="140"/>
      <c r="J30" s="140"/>
    </row>
    <row r="31" spans="1:11" ht="24" x14ac:dyDescent="0.2">
      <c r="A31" s="147" t="s">
        <v>58</v>
      </c>
      <c r="B31" s="147" t="s">
        <v>59</v>
      </c>
      <c r="C31" s="147" t="s">
        <v>50</v>
      </c>
      <c r="D31" s="147" t="s">
        <v>51</v>
      </c>
      <c r="E31" s="147" t="s">
        <v>52</v>
      </c>
      <c r="F31" s="147" t="s">
        <v>53</v>
      </c>
      <c r="G31" s="147" t="s">
        <v>54</v>
      </c>
      <c r="H31" s="147" t="s">
        <v>55</v>
      </c>
      <c r="I31" s="147" t="s">
        <v>56</v>
      </c>
      <c r="J31" s="147" t="s">
        <v>60</v>
      </c>
    </row>
    <row r="32" spans="1:11" x14ac:dyDescent="0.2">
      <c r="A32" s="134" t="s">
        <v>61</v>
      </c>
      <c r="B32" s="243">
        <f>(Assumptions!$B$33/Assumptions!$B$32)*B23</f>
        <v>0</v>
      </c>
      <c r="C32" s="243">
        <f>(Assumptions!$B$33/Assumptions!$B$32)*C23</f>
        <v>28.000000000000004</v>
      </c>
      <c r="D32" s="243">
        <f>(Assumptions!$B$33/Assumptions!$B$32)*D23</f>
        <v>245.66666666666669</v>
      </c>
      <c r="E32" s="243">
        <f>(Assumptions!$B$33/Assumptions!$B$32)*E23</f>
        <v>0</v>
      </c>
      <c r="F32" s="243">
        <f>(Assumptions!$B$33/Assumptions!$B$32)*F23</f>
        <v>11419.333333333334</v>
      </c>
      <c r="G32" s="243">
        <f>(Assumptions!$B$33/Assumptions!$B$32)*G23</f>
        <v>4741.3333333333339</v>
      </c>
      <c r="H32" s="243">
        <f>(Assumptions!$B$33/Assumptions!$B$32)*H23</f>
        <v>406.00000000000006</v>
      </c>
      <c r="I32" s="243">
        <f>(Assumptions!$B$33/Assumptions!$B$32)*I23</f>
        <v>14.000000000000002</v>
      </c>
      <c r="J32" s="153">
        <f>SUM(B32:I32)</f>
        <v>16854.333333333336</v>
      </c>
      <c r="K32" s="243"/>
    </row>
    <row r="33" spans="1:10" x14ac:dyDescent="0.2">
      <c r="A33" s="134" t="s">
        <v>62</v>
      </c>
      <c r="B33" s="243">
        <f>(Assumptions!$B$33/Assumptions!$B$32)*B24</f>
        <v>0</v>
      </c>
      <c r="C33" s="243">
        <f>(Assumptions!$B$33/Assumptions!$B$32)*C24</f>
        <v>364.00000000000006</v>
      </c>
      <c r="D33" s="243">
        <f>(Assumptions!$B$33/Assumptions!$B$32)*D24</f>
        <v>2499.3333333333335</v>
      </c>
      <c r="E33" s="243">
        <f>(Assumptions!$B$33/Assumptions!$B$32)*E24</f>
        <v>0</v>
      </c>
      <c r="F33" s="243">
        <f>(Assumptions!$B$33/Assumptions!$B$32)*F24</f>
        <v>11652.666666666668</v>
      </c>
      <c r="G33" s="243">
        <f>(Assumptions!$B$33/Assumptions!$B$32)*G24</f>
        <v>27617.333333333336</v>
      </c>
      <c r="H33" s="243">
        <f>(Assumptions!$B$33/Assumptions!$B$32)*H24</f>
        <v>4993.3333333333339</v>
      </c>
      <c r="I33" s="243">
        <f>(Assumptions!$B$33/Assumptions!$B$32)*I24</f>
        <v>98.000000000000014</v>
      </c>
      <c r="J33" s="153">
        <f>SUM(B33:I33)</f>
        <v>47224.666666666672</v>
      </c>
    </row>
    <row r="34" spans="1:10" x14ac:dyDescent="0.2">
      <c r="A34" s="134" t="s">
        <v>63</v>
      </c>
      <c r="B34" s="243">
        <f>(Assumptions!$B$33/Assumptions!$B$32)*B25</f>
        <v>0</v>
      </c>
      <c r="C34" s="243">
        <f>(Assumptions!$B$33/Assumptions!$B$32)*C25</f>
        <v>602.00000000000011</v>
      </c>
      <c r="D34" s="243">
        <f>(Assumptions!$B$33/Assumptions!$B$32)*D25</f>
        <v>5604.0000000000009</v>
      </c>
      <c r="E34" s="243">
        <f>(Assumptions!$B$33/Assumptions!$B$32)*E25</f>
        <v>0</v>
      </c>
      <c r="F34" s="243">
        <f>(Assumptions!$B$33/Assumptions!$B$32)*F25</f>
        <v>28452.666666666672</v>
      </c>
      <c r="G34" s="243">
        <f>(Assumptions!$B$33/Assumptions!$B$32)*G25</f>
        <v>25750.666666666668</v>
      </c>
      <c r="H34" s="243">
        <f>(Assumptions!$B$33/Assumptions!$B$32)*H25</f>
        <v>7886.6666666666679</v>
      </c>
      <c r="I34" s="243">
        <f>(Assumptions!$B$33/Assumptions!$B$32)*I25</f>
        <v>130.66666666666669</v>
      </c>
      <c r="J34" s="153">
        <f>SUM(B34:I34)</f>
        <v>68426.666666666686</v>
      </c>
    </row>
    <row r="35" spans="1:10" x14ac:dyDescent="0.2">
      <c r="A35" s="134" t="s">
        <v>64</v>
      </c>
      <c r="B35" s="243">
        <f>(Assumptions!$B$33/Assumptions!$B$32)*B26</f>
        <v>0</v>
      </c>
      <c r="C35" s="243">
        <f>(Assumptions!$B$33/Assumptions!$B$32)*C26</f>
        <v>368.66666666666669</v>
      </c>
      <c r="D35" s="243">
        <f>(Assumptions!$B$33/Assumptions!$B$32)*D26</f>
        <v>4840.0000000000009</v>
      </c>
      <c r="E35" s="243">
        <f>(Assumptions!$B$33/Assumptions!$B$32)*E26</f>
        <v>0</v>
      </c>
      <c r="F35" s="243">
        <f>(Assumptions!$B$33/Assumptions!$B$32)*F26</f>
        <v>19987.333333333336</v>
      </c>
      <c r="G35" s="243">
        <f>(Assumptions!$B$33/Assumptions!$B$32)*G26</f>
        <v>20206.666666666668</v>
      </c>
      <c r="H35" s="243">
        <f>(Assumptions!$B$33/Assumptions!$B$32)*H26</f>
        <v>7112.0000000000009</v>
      </c>
      <c r="I35" s="243">
        <f>(Assumptions!$B$33/Assumptions!$B$32)*I26</f>
        <v>70.000000000000014</v>
      </c>
      <c r="J35" s="153">
        <f>SUM(B35:I35)</f>
        <v>52584.666666666672</v>
      </c>
    </row>
    <row r="36" spans="1:10" x14ac:dyDescent="0.2">
      <c r="A36" s="137" t="s">
        <v>65</v>
      </c>
      <c r="B36" s="249">
        <f>(Assumptions!$B$33/Assumptions!$B$32)*B27</f>
        <v>0</v>
      </c>
      <c r="C36" s="249">
        <f>(Assumptions!$B$33/Assumptions!$B$32)*C27</f>
        <v>667.33333333333337</v>
      </c>
      <c r="D36" s="249">
        <f>(Assumptions!$B$33/Assumptions!$B$32)*D27</f>
        <v>7872.0000000000009</v>
      </c>
      <c r="E36" s="249">
        <f>(Assumptions!$B$33/Assumptions!$B$32)*E27</f>
        <v>0</v>
      </c>
      <c r="F36" s="249">
        <f>(Assumptions!$B$33/Assumptions!$B$32)*F27</f>
        <v>4335.3333333333339</v>
      </c>
      <c r="G36" s="249">
        <f>(Assumptions!$B$33/Assumptions!$B$32)*G27</f>
        <v>12660.666666666668</v>
      </c>
      <c r="H36" s="249">
        <f>(Assumptions!$B$33/Assumptions!$B$32)*H27</f>
        <v>8101.3333333333339</v>
      </c>
      <c r="I36" s="249">
        <f>(Assumptions!$B$33/Assumptions!$B$32)*I27</f>
        <v>74.666666666666671</v>
      </c>
      <c r="J36" s="251">
        <f>SUM(B36:I36)</f>
        <v>33711.333333333336</v>
      </c>
    </row>
    <row r="37" spans="1:10" x14ac:dyDescent="0.2">
      <c r="A37" s="133" t="s">
        <v>60</v>
      </c>
      <c r="B37" s="153">
        <f>SUM(B32:B36)</f>
        <v>0</v>
      </c>
      <c r="C37" s="153">
        <f t="shared" ref="C37:J37" si="1">SUM(C32:C36)</f>
        <v>2030.0000000000005</v>
      </c>
      <c r="D37" s="153">
        <f t="shared" si="1"/>
        <v>21061</v>
      </c>
      <c r="E37" s="153">
        <f>SUM(E32:E36)</f>
        <v>0</v>
      </c>
      <c r="F37" s="153">
        <f>SUM(F32:F36)</f>
        <v>75847.333333333328</v>
      </c>
      <c r="G37" s="153">
        <f t="shared" si="1"/>
        <v>90976.666666666686</v>
      </c>
      <c r="H37" s="153">
        <f t="shared" si="1"/>
        <v>28499.333333333336</v>
      </c>
      <c r="I37" s="153">
        <f t="shared" si="1"/>
        <v>387.33333333333337</v>
      </c>
      <c r="J37" s="155">
        <f t="shared" si="1"/>
        <v>218801.66666666672</v>
      </c>
    </row>
    <row r="39" spans="1:10" x14ac:dyDescent="0.2">
      <c r="A39" s="140" t="s">
        <v>67</v>
      </c>
      <c r="B39" s="140"/>
      <c r="C39" s="140"/>
      <c r="D39" s="140"/>
      <c r="E39" s="140"/>
      <c r="F39" s="140"/>
      <c r="G39" s="140"/>
      <c r="H39" s="140"/>
      <c r="I39" s="140"/>
      <c r="J39" s="140"/>
    </row>
    <row r="40" spans="1:10" ht="24" x14ac:dyDescent="0.2">
      <c r="A40" s="147" t="s">
        <v>58</v>
      </c>
      <c r="B40" s="147" t="s">
        <v>59</v>
      </c>
      <c r="C40" s="147" t="s">
        <v>50</v>
      </c>
      <c r="D40" s="147" t="s">
        <v>51</v>
      </c>
      <c r="E40" s="147" t="s">
        <v>52</v>
      </c>
      <c r="F40" s="147" t="s">
        <v>53</v>
      </c>
      <c r="G40" s="147" t="s">
        <v>54</v>
      </c>
      <c r="H40" s="147" t="s">
        <v>55</v>
      </c>
      <c r="I40" s="147" t="s">
        <v>56</v>
      </c>
      <c r="J40" s="147" t="s">
        <v>60</v>
      </c>
    </row>
    <row r="41" spans="1:10" x14ac:dyDescent="0.2">
      <c r="A41" s="134" t="s">
        <v>61</v>
      </c>
      <c r="B41" s="191">
        <f>Assumptions!$B$36*B23</f>
        <v>0</v>
      </c>
      <c r="C41" s="191">
        <f>Assumptions!$B$36*C23</f>
        <v>4034454.4389148881</v>
      </c>
      <c r="D41" s="191">
        <f>Assumptions!$B$36*D23</f>
        <v>35397534.779527053</v>
      </c>
      <c r="E41" s="191">
        <f>Assumptions!$B$36*E23</f>
        <v>0</v>
      </c>
      <c r="F41" s="191">
        <f>Assumptions!$B$36*F23</f>
        <v>1645385002.0041218</v>
      </c>
      <c r="G41" s="191">
        <f>Assumptions!$B$36*G23</f>
        <v>683167618.32292104</v>
      </c>
      <c r="H41" s="191">
        <f>Assumptions!$B$36*H23</f>
        <v>58499589.364265881</v>
      </c>
      <c r="I41" s="191">
        <f>Assumptions!$B$36*I23</f>
        <v>2017227.219457444</v>
      </c>
      <c r="J41" s="248">
        <f>SUM(B41:I41)</f>
        <v>2428501426.1292081</v>
      </c>
    </row>
    <row r="42" spans="1:10" x14ac:dyDescent="0.2">
      <c r="A42" s="134" t="s">
        <v>62</v>
      </c>
      <c r="B42" s="191">
        <f>Assumptions!$B$36*B24</f>
        <v>0</v>
      </c>
      <c r="C42" s="191">
        <f>Assumptions!$B$36*C24</f>
        <v>52447907.705893546</v>
      </c>
      <c r="D42" s="191">
        <f>Assumptions!$B$36*D24</f>
        <v>360123087.89266467</v>
      </c>
      <c r="E42" s="191">
        <f>Assumptions!$B$36*E24</f>
        <v>0</v>
      </c>
      <c r="F42" s="191">
        <f>Assumptions!$B$36*F24</f>
        <v>1679005455.661746</v>
      </c>
      <c r="G42" s="191">
        <f>Assumptions!$B$36*G24</f>
        <v>3979316894.9163847</v>
      </c>
      <c r="H42" s="191">
        <f>Assumptions!$B$36*H24</f>
        <v>719477708.27315509</v>
      </c>
      <c r="I42" s="191">
        <f>Assumptions!$B$36*I24</f>
        <v>14120590.536202108</v>
      </c>
      <c r="J42" s="248">
        <f>SUM(B42:I42)</f>
        <v>6804491644.9860468</v>
      </c>
    </row>
    <row r="43" spans="1:10" x14ac:dyDescent="0.2">
      <c r="A43" s="134" t="s">
        <v>63</v>
      </c>
      <c r="B43" s="191">
        <f>Assumptions!$B$36*B25</f>
        <v>0</v>
      </c>
      <c r="C43" s="191">
        <f>Assumptions!$B$36*C25</f>
        <v>86740770.436670095</v>
      </c>
      <c r="D43" s="191">
        <f>Assumptions!$B$36*D25</f>
        <v>807467238.4171083</v>
      </c>
      <c r="E43" s="191">
        <f>Assumptions!$B$36*E25</f>
        <v>0</v>
      </c>
      <c r="F43" s="191">
        <f>Assumptions!$B$36*F25</f>
        <v>4099678119.0106788</v>
      </c>
      <c r="G43" s="191">
        <f>Assumptions!$B$36*G25</f>
        <v>3710353265.6553922</v>
      </c>
      <c r="H43" s="191">
        <f>Assumptions!$B$36*H25</f>
        <v>1136371333.6276934</v>
      </c>
      <c r="I43" s="191">
        <f>Assumptions!$B$36*I25</f>
        <v>18827454.048269477</v>
      </c>
      <c r="J43" s="248">
        <f>SUM(B43:I43)</f>
        <v>9859438181.1958122</v>
      </c>
    </row>
    <row r="44" spans="1:10" x14ac:dyDescent="0.2">
      <c r="A44" s="134" t="s">
        <v>64</v>
      </c>
      <c r="B44" s="191">
        <f>Assumptions!$B$36*B26</f>
        <v>0</v>
      </c>
      <c r="C44" s="191">
        <f>Assumptions!$B$36*C26</f>
        <v>53120316.779046029</v>
      </c>
      <c r="D44" s="191">
        <f>Assumptions!$B$36*D26</f>
        <v>697384267.29814494</v>
      </c>
      <c r="E44" s="191">
        <f>Assumptions!$B$36*E26</f>
        <v>0</v>
      </c>
      <c r="F44" s="191">
        <f>Assumptions!$B$36*F26</f>
        <v>2879928060.3120775</v>
      </c>
      <c r="G44" s="191">
        <f>Assumptions!$B$36*G26</f>
        <v>2911531286.7502441</v>
      </c>
      <c r="H44" s="191">
        <f>Assumptions!$B$36*H26</f>
        <v>1024751427.4843816</v>
      </c>
      <c r="I44" s="191">
        <f>Assumptions!$B$36*I26</f>
        <v>10086136.097287221</v>
      </c>
      <c r="J44" s="248">
        <f>SUM(B44:I44)</f>
        <v>7576801494.7211819</v>
      </c>
    </row>
    <row r="45" spans="1:10" x14ac:dyDescent="0.2">
      <c r="A45" s="137" t="s">
        <v>65</v>
      </c>
      <c r="B45" s="250">
        <f>Assumptions!$B$36*B27</f>
        <v>0</v>
      </c>
      <c r="C45" s="250">
        <f>Assumptions!$B$36*C27</f>
        <v>96154497.460804835</v>
      </c>
      <c r="D45" s="250">
        <f>Assumptions!$B$36*D27</f>
        <v>1134258047.9692142</v>
      </c>
      <c r="E45" s="250">
        <f>Assumptions!$B$36*E27</f>
        <v>0</v>
      </c>
      <c r="F45" s="250">
        <f>Assumptions!$B$36*F27</f>
        <v>624668028.95865524</v>
      </c>
      <c r="G45" s="250">
        <f>Assumptions!$B$36*G27</f>
        <v>1824245815.462682</v>
      </c>
      <c r="H45" s="250">
        <f>Assumptions!$B$36*H27</f>
        <v>1167302150.9927077</v>
      </c>
      <c r="I45" s="250">
        <f>Assumptions!$B$36*I27</f>
        <v>10758545.170439702</v>
      </c>
      <c r="J45" s="252">
        <f>SUM(B45:I45)</f>
        <v>4857387086.0145044</v>
      </c>
    </row>
    <row r="46" spans="1:10" x14ac:dyDescent="0.2">
      <c r="A46" s="133" t="s">
        <v>60</v>
      </c>
      <c r="B46" s="201">
        <f>SUM(B41:B45)</f>
        <v>0</v>
      </c>
      <c r="C46" s="201">
        <f t="shared" ref="C46:I46" si="2">SUM(C41:C45)</f>
        <v>292497946.82132941</v>
      </c>
      <c r="D46" s="201">
        <f t="shared" si="2"/>
        <v>3034630176.3566589</v>
      </c>
      <c r="E46" s="201">
        <f>SUM(E41:E45)</f>
        <v>0</v>
      </c>
      <c r="F46" s="201">
        <f>SUM(F41:F45)</f>
        <v>10928664665.947279</v>
      </c>
      <c r="G46" s="201">
        <f t="shared" si="2"/>
        <v>13108614881.107624</v>
      </c>
      <c r="H46" s="201">
        <f t="shared" si="2"/>
        <v>4106402209.7422037</v>
      </c>
      <c r="I46" s="201">
        <f t="shared" si="2"/>
        <v>55809953.071655959</v>
      </c>
      <c r="J46" s="248">
        <f>SUM(J41:J45)</f>
        <v>31526619833.046753</v>
      </c>
    </row>
    <row r="48" spans="1:10" x14ac:dyDescent="0.2">
      <c r="A48" s="140" t="s">
        <v>68</v>
      </c>
      <c r="B48" s="140"/>
      <c r="C48" s="140"/>
      <c r="D48" s="140"/>
      <c r="E48" s="140"/>
      <c r="F48" s="140"/>
      <c r="G48" s="140"/>
      <c r="H48" s="140"/>
      <c r="I48" s="140"/>
      <c r="J48" s="140"/>
    </row>
    <row r="49" spans="1:10" ht="24" x14ac:dyDescent="0.2">
      <c r="A49" s="147" t="s">
        <v>58</v>
      </c>
      <c r="B49" s="147" t="s">
        <v>59</v>
      </c>
      <c r="C49" s="147" t="s">
        <v>50</v>
      </c>
      <c r="D49" s="147" t="s">
        <v>51</v>
      </c>
      <c r="E49" s="147" t="s">
        <v>52</v>
      </c>
      <c r="F49" s="147" t="s">
        <v>53</v>
      </c>
      <c r="G49" s="147" t="s">
        <v>54</v>
      </c>
      <c r="H49" s="147" t="s">
        <v>55</v>
      </c>
      <c r="I49" s="147" t="s">
        <v>56</v>
      </c>
      <c r="J49" s="147" t="s">
        <v>60</v>
      </c>
    </row>
    <row r="50" spans="1:10" x14ac:dyDescent="0.2">
      <c r="A50" s="134" t="s">
        <v>61</v>
      </c>
      <c r="B50" s="253">
        <f>(Assumptions!$B$33/Assumptions!$B$32)*'By Journalist'!B41</f>
        <v>0</v>
      </c>
      <c r="C50" s="253">
        <f>(Assumptions!$B$33/Assumptions!$B$32)*'By Journalist'!C41</f>
        <v>2689636.2926099258</v>
      </c>
      <c r="D50" s="253">
        <f>(Assumptions!$B$33/Assumptions!$B$32)*'By Journalist'!D41</f>
        <v>23598356.519684706</v>
      </c>
      <c r="E50" s="253">
        <f>(Assumptions!$B$33/Assumptions!$B$32)*'By Journalist'!E41</f>
        <v>0</v>
      </c>
      <c r="F50" s="253">
        <f>(Assumptions!$B$33/Assumptions!$B$32)*'By Journalist'!F41</f>
        <v>1096923334.6694148</v>
      </c>
      <c r="G50" s="253">
        <f>(Assumptions!$B$33/Assumptions!$B$32)*'By Journalist'!G41</f>
        <v>455445078.8819474</v>
      </c>
      <c r="H50" s="253">
        <f>(Assumptions!$B$33/Assumptions!$B$32)*'By Journalist'!H41</f>
        <v>38999726.242843926</v>
      </c>
      <c r="I50" s="253">
        <f>(Assumptions!$B$33/Assumptions!$B$32)*'By Journalist'!I41</f>
        <v>1344818.1463049629</v>
      </c>
      <c r="J50" s="248">
        <f>SUM(B50:I50)</f>
        <v>1619000950.7528057</v>
      </c>
    </row>
    <row r="51" spans="1:10" x14ac:dyDescent="0.2">
      <c r="A51" s="134" t="s">
        <v>62</v>
      </c>
      <c r="B51" s="253">
        <f>(Assumptions!$B$33/Assumptions!$B$32)*'By Journalist'!B42</f>
        <v>0</v>
      </c>
      <c r="C51" s="253">
        <f>(Assumptions!$B$33/Assumptions!$B$32)*'By Journalist'!C42</f>
        <v>34965271.803929038</v>
      </c>
      <c r="D51" s="253">
        <f>(Assumptions!$B$33/Assumptions!$B$32)*'By Journalist'!D42</f>
        <v>240082058.59510982</v>
      </c>
      <c r="E51" s="253">
        <f>(Assumptions!$B$33/Assumptions!$B$32)*'By Journalist'!E42</f>
        <v>0</v>
      </c>
      <c r="F51" s="253">
        <f>(Assumptions!$B$33/Assumptions!$B$32)*'By Journalist'!F42</f>
        <v>1119336970.4411643</v>
      </c>
      <c r="G51" s="253">
        <f>(Assumptions!$B$33/Assumptions!$B$32)*'By Journalist'!G42</f>
        <v>2652877929.9442568</v>
      </c>
      <c r="H51" s="253">
        <f>(Assumptions!$B$33/Assumptions!$B$32)*'By Journalist'!H42</f>
        <v>479651805.51543677</v>
      </c>
      <c r="I51" s="253">
        <f>(Assumptions!$B$33/Assumptions!$B$32)*'By Journalist'!I42</f>
        <v>9413727.0241347402</v>
      </c>
      <c r="J51" s="248">
        <f>SUM(B51:I51)</f>
        <v>4536327763.3240318</v>
      </c>
    </row>
    <row r="52" spans="1:10" x14ac:dyDescent="0.2">
      <c r="A52" s="134" t="s">
        <v>63</v>
      </c>
      <c r="B52" s="253">
        <f>(Assumptions!$B$33/Assumptions!$B$32)*'By Journalist'!B43</f>
        <v>0</v>
      </c>
      <c r="C52" s="253">
        <f>(Assumptions!$B$33/Assumptions!$B$32)*'By Journalist'!C43</f>
        <v>57827180.291113406</v>
      </c>
      <c r="D52" s="253">
        <f>(Assumptions!$B$33/Assumptions!$B$32)*'By Journalist'!D43</f>
        <v>538311492.27807224</v>
      </c>
      <c r="E52" s="253">
        <f>(Assumptions!$B$33/Assumptions!$B$32)*'By Journalist'!E43</f>
        <v>0</v>
      </c>
      <c r="F52" s="253">
        <f>(Assumptions!$B$33/Assumptions!$B$32)*'By Journalist'!F43</f>
        <v>2733118746.0071197</v>
      </c>
      <c r="G52" s="253">
        <f>(Assumptions!$B$33/Assumptions!$B$32)*'By Journalist'!G43</f>
        <v>2473568843.7702618</v>
      </c>
      <c r="H52" s="253">
        <f>(Assumptions!$B$33/Assumptions!$B$32)*'By Journalist'!H43</f>
        <v>757580889.08512902</v>
      </c>
      <c r="I52" s="253">
        <f>(Assumptions!$B$33/Assumptions!$B$32)*'By Journalist'!I43</f>
        <v>12551636.032179652</v>
      </c>
      <c r="J52" s="248">
        <f>SUM(B52:I52)</f>
        <v>6572958787.4638758</v>
      </c>
    </row>
    <row r="53" spans="1:10" x14ac:dyDescent="0.2">
      <c r="A53" s="134" t="s">
        <v>64</v>
      </c>
      <c r="B53" s="253">
        <f>(Assumptions!$B$33/Assumptions!$B$32)*'By Journalist'!B44</f>
        <v>0</v>
      </c>
      <c r="C53" s="253">
        <f>(Assumptions!$B$33/Assumptions!$B$32)*'By Journalist'!C44</f>
        <v>35413544.519364022</v>
      </c>
      <c r="D53" s="253">
        <f>(Assumptions!$B$33/Assumptions!$B$32)*'By Journalist'!D44</f>
        <v>464922844.86543</v>
      </c>
      <c r="E53" s="253">
        <f>(Assumptions!$B$33/Assumptions!$B$32)*'By Journalist'!E44</f>
        <v>0</v>
      </c>
      <c r="F53" s="253">
        <f>(Assumptions!$B$33/Assumptions!$B$32)*'By Journalist'!F44</f>
        <v>1919952040.2080519</v>
      </c>
      <c r="G53" s="253">
        <f>(Assumptions!$B$33/Assumptions!$B$32)*'By Journalist'!G44</f>
        <v>1941020857.8334963</v>
      </c>
      <c r="H53" s="253">
        <f>(Assumptions!$B$33/Assumptions!$B$32)*'By Journalist'!H44</f>
        <v>683167618.32292116</v>
      </c>
      <c r="I53" s="253">
        <f>(Assumptions!$B$33/Assumptions!$B$32)*'By Journalist'!I44</f>
        <v>6724090.7315248149</v>
      </c>
      <c r="J53" s="248">
        <f>SUM(B53:I53)</f>
        <v>5051200996.4807873</v>
      </c>
    </row>
    <row r="54" spans="1:10" x14ac:dyDescent="0.2">
      <c r="A54" s="137" t="s">
        <v>65</v>
      </c>
      <c r="B54" s="181">
        <f>(Assumptions!$B$33/Assumptions!$B$32)*'By Journalist'!B45</f>
        <v>0</v>
      </c>
      <c r="C54" s="181">
        <f>(Assumptions!$B$33/Assumptions!$B$32)*'By Journalist'!C45</f>
        <v>64102998.307203233</v>
      </c>
      <c r="D54" s="181">
        <f>(Assumptions!$B$33/Assumptions!$B$32)*'By Journalist'!D45</f>
        <v>756172031.97947621</v>
      </c>
      <c r="E54" s="181">
        <f>(Assumptions!$B$33/Assumptions!$B$32)*'By Journalist'!E45</f>
        <v>0</v>
      </c>
      <c r="F54" s="181">
        <f>(Assumptions!$B$33/Assumptions!$B$32)*'By Journalist'!F45</f>
        <v>416445352.63910353</v>
      </c>
      <c r="G54" s="181">
        <f>(Assumptions!$B$33/Assumptions!$B$32)*'By Journalist'!G45</f>
        <v>1216163876.9751215</v>
      </c>
      <c r="H54" s="181">
        <f>(Assumptions!$B$33/Assumptions!$B$32)*'By Journalist'!H45</f>
        <v>778201433.99513853</v>
      </c>
      <c r="I54" s="181">
        <f>(Assumptions!$B$33/Assumptions!$B$32)*'By Journalist'!I45</f>
        <v>7172363.4469598019</v>
      </c>
      <c r="J54" s="252">
        <f>SUM(B54:I54)</f>
        <v>3238258057.3430033</v>
      </c>
    </row>
    <row r="55" spans="1:10" x14ac:dyDescent="0.2">
      <c r="A55" s="133" t="s">
        <v>60</v>
      </c>
      <c r="B55" s="201">
        <f>SUM(B50:B54)</f>
        <v>0</v>
      </c>
      <c r="C55" s="201">
        <f t="shared" ref="C55:D55" si="3">SUM(C50:C54)</f>
        <v>194998631.21421963</v>
      </c>
      <c r="D55" s="201">
        <f t="shared" si="3"/>
        <v>2023086784.2377729</v>
      </c>
      <c r="E55" s="201">
        <f t="shared" ref="E55" si="4">SUM(E50:E54)</f>
        <v>0</v>
      </c>
      <c r="F55" s="201">
        <f t="shared" ref="F55" si="5">SUM(F50:F54)</f>
        <v>7285776443.9648542</v>
      </c>
      <c r="G55" s="201">
        <f t="shared" ref="G55" si="6">SUM(G50:G54)</f>
        <v>8739076587.4050827</v>
      </c>
      <c r="H55" s="201">
        <f t="shared" ref="H55" si="7">SUM(H50:H54)</f>
        <v>2737601473.1614695</v>
      </c>
      <c r="I55" s="201">
        <f t="shared" ref="I55" si="8">SUM(I50:I54)</f>
        <v>37206635.38110397</v>
      </c>
      <c r="J55" s="248">
        <f>SUM(J50:J54)</f>
        <v>21017746555.364502</v>
      </c>
    </row>
    <row r="58" spans="1:10" x14ac:dyDescent="0.2">
      <c r="B58" s="191"/>
    </row>
    <row r="87" spans="1:1" ht="12.75" thickBot="1" x14ac:dyDescent="0.25">
      <c r="A87" s="156"/>
    </row>
  </sheetData>
  <pageMargins left="0.7" right="0.7" top="0.75" bottom="0.75" header="0.3" footer="0.3"/>
  <pageSetup scale="60"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A9186C-06C3-4BFA-8DB9-8DBC3BFD52BB}">
          <x14:formula1>
            <xm:f>'Dropdown Menus'!#REF!</xm:f>
          </x14:formula1>
          <xm:sqref>D11:D18 E11:E15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70FFF-D65E-4273-90C7-BFE9E046A033}">
  <sheetPr>
    <tabColor theme="8" tint="0.39997558519241921"/>
  </sheetPr>
  <dimension ref="A1:J45"/>
  <sheetViews>
    <sheetView view="pageBreakPreview" zoomScale="145" zoomScaleNormal="130" zoomScaleSheetLayoutView="145" workbookViewId="0"/>
  </sheetViews>
  <sheetFormatPr defaultColWidth="9.140625" defaultRowHeight="12" x14ac:dyDescent="0.2"/>
  <cols>
    <col min="1" max="1" width="21.42578125" style="134" bestFit="1" customWidth="1"/>
    <col min="2" max="2" width="16.5703125" style="134" customWidth="1"/>
    <col min="3" max="4" width="14.7109375" style="134" customWidth="1"/>
    <col min="5" max="5" width="23.140625" style="134" customWidth="1"/>
    <col min="6" max="6" width="10.42578125" style="134" customWidth="1"/>
    <col min="7" max="9" width="14.7109375" style="134" customWidth="1"/>
    <col min="10" max="10" width="12.28515625" style="134" bestFit="1" customWidth="1"/>
    <col min="11" max="16384" width="9.140625" style="134"/>
  </cols>
  <sheetData>
    <row r="1" spans="1:10" x14ac:dyDescent="0.2">
      <c r="A1" s="133" t="s">
        <v>941</v>
      </c>
      <c r="J1" s="210"/>
    </row>
    <row r="2" spans="1:10" x14ac:dyDescent="0.2">
      <c r="A2" s="133" t="s">
        <v>2</v>
      </c>
    </row>
    <row r="3" spans="1:10" x14ac:dyDescent="0.2">
      <c r="A3" s="135" t="str">
        <f>INSTRUCTIONS!A3</f>
        <v>March 2022</v>
      </c>
    </row>
    <row r="4" spans="1:10" x14ac:dyDescent="0.2">
      <c r="A4" s="154" t="s">
        <v>841</v>
      </c>
    </row>
    <row r="6" spans="1:10" ht="12.95" customHeight="1" x14ac:dyDescent="0.2">
      <c r="A6" s="134" t="s">
        <v>842</v>
      </c>
      <c r="B6" s="236" t="s">
        <v>178</v>
      </c>
      <c r="E6" s="202" t="s">
        <v>894</v>
      </c>
      <c r="F6" s="336">
        <f>Assumptions!B14</f>
        <v>7</v>
      </c>
    </row>
    <row r="7" spans="1:10" ht="24" x14ac:dyDescent="0.2">
      <c r="A7" s="134" t="s">
        <v>58</v>
      </c>
      <c r="B7" s="336" t="str">
        <f>IFERROR(VLOOKUP('State Estimate'!B6,'State Data Rollup &amp; Size Tags'!A7:M57,2,0),"")</f>
        <v>Medium</v>
      </c>
      <c r="E7" s="202" t="s">
        <v>44</v>
      </c>
      <c r="F7" s="343">
        <f>Assumptions!B23</f>
        <v>6</v>
      </c>
    </row>
    <row r="8" spans="1:10" x14ac:dyDescent="0.2">
      <c r="A8" s="134" t="s">
        <v>149</v>
      </c>
      <c r="B8" s="336">
        <f>IFERROR(VLOOKUP('State Estimate'!B7,'Coverage Units by State Size'!B8:D12,3,0),"")</f>
        <v>2</v>
      </c>
      <c r="E8" s="202"/>
      <c r="F8" s="285"/>
    </row>
    <row r="10" spans="1:10" x14ac:dyDescent="0.2">
      <c r="A10" s="178" t="s">
        <v>29</v>
      </c>
      <c r="B10" s="137"/>
    </row>
    <row r="11" spans="1:10" x14ac:dyDescent="0.2">
      <c r="A11" s="134" t="s">
        <v>849</v>
      </c>
      <c r="B11" s="243">
        <f>IFERROR(((F20/100000)*((B20*F6)+(C20*F7))+(F21*((B21*F6)+(C21*F7)))+(F22*((B22*B8)+(C22*F7*B8)))+(F23*((B23*F6*B8)+(C23*F7*B8)))+(F24*((B24*F6)+(C24*F7)))+(F25*((B25*F6)+(C25*F7)))+(F26*((B26*F6*B8)+(C26*F7*B8)))+(F27*((B27*F6*B8)+(C27*F7*B8)))),"")</f>
        <v>76848.635680000007</v>
      </c>
    </row>
    <row r="12" spans="1:10" x14ac:dyDescent="0.2">
      <c r="A12" s="137" t="s">
        <v>850</v>
      </c>
      <c r="B12" s="138">
        <f>IFERROR(((Assumptions!$B$33/Assumptions!$B$32)*'State Estimate'!B11),"")</f>
        <v>51232.423786666674</v>
      </c>
    </row>
    <row r="13" spans="1:10" ht="12.75" thickBot="1" x14ac:dyDescent="0.25">
      <c r="A13" s="354" t="s">
        <v>257</v>
      </c>
      <c r="B13" s="355">
        <f>SUM(B11:B12)</f>
        <v>128081.05946666669</v>
      </c>
    </row>
    <row r="14" spans="1:10" ht="12.75" thickTop="1" x14ac:dyDescent="0.2">
      <c r="A14" s="134" t="s">
        <v>35</v>
      </c>
      <c r="B14" s="170">
        <f>IFERROR((B11*Assumptions!B36),"")</f>
        <v>7381959984.3745022</v>
      </c>
    </row>
    <row r="15" spans="1:10" x14ac:dyDescent="0.2">
      <c r="A15" s="137" t="s">
        <v>36</v>
      </c>
      <c r="B15" s="250">
        <f>IFERROR(((Assumptions!B33/Assumptions!B32)*'State Estimate'!B14),"")</f>
        <v>4921306656.2496691</v>
      </c>
    </row>
    <row r="16" spans="1:10" ht="12.75" thickBot="1" x14ac:dyDescent="0.25">
      <c r="A16" s="354" t="s">
        <v>87</v>
      </c>
      <c r="B16" s="356">
        <f>SUM(B14:B15)</f>
        <v>12303266640.624172</v>
      </c>
    </row>
    <row r="17" spans="1:7" ht="12.75" thickTop="1" x14ac:dyDescent="0.2"/>
    <row r="18" spans="1:7" x14ac:dyDescent="0.2">
      <c r="A18" s="140" t="s">
        <v>878</v>
      </c>
      <c r="B18" s="140"/>
      <c r="C18" s="140"/>
      <c r="E18" s="140" t="s">
        <v>848</v>
      </c>
      <c r="F18" s="140"/>
      <c r="G18" s="133"/>
    </row>
    <row r="19" spans="1:7" ht="29.45" customHeight="1" thickBot="1" x14ac:dyDescent="0.25">
      <c r="A19" s="157" t="s">
        <v>46</v>
      </c>
      <c r="B19" s="157" t="s">
        <v>892</v>
      </c>
      <c r="C19" s="157" t="s">
        <v>48</v>
      </c>
      <c r="E19" s="157" t="s">
        <v>715</v>
      </c>
      <c r="F19" s="157"/>
      <c r="G19" s="153"/>
    </row>
    <row r="20" spans="1:7" ht="12.75" thickBot="1" x14ac:dyDescent="0.25">
      <c r="A20" s="134" t="s">
        <v>49</v>
      </c>
      <c r="B20" s="160">
        <v>1</v>
      </c>
      <c r="C20" s="160">
        <v>1</v>
      </c>
      <c r="E20" s="337" t="s">
        <v>156</v>
      </c>
      <c r="F20" s="338">
        <f>IFERROR(VLOOKUP($B$6,'State Data Rollup &amp; Size Tags'!$A$7:$M$57,3),"")</f>
        <v>5758736</v>
      </c>
      <c r="G20" s="153"/>
    </row>
    <row r="21" spans="1:7" ht="12.75" thickBot="1" x14ac:dyDescent="0.25">
      <c r="A21" s="134" t="s">
        <v>50</v>
      </c>
      <c r="B21" s="160">
        <v>1</v>
      </c>
      <c r="C21" s="160">
        <v>1</v>
      </c>
      <c r="E21" s="339" t="s">
        <v>169</v>
      </c>
      <c r="F21" s="340">
        <f>IFERROR(VLOOKUP($B$6,'State Data Rollup &amp; Size Tags'!$A$7:$M$57,4),"")</f>
        <v>7</v>
      </c>
      <c r="G21" s="153"/>
    </row>
    <row r="22" spans="1:7" ht="12.75" thickBot="1" x14ac:dyDescent="0.25">
      <c r="A22" s="134" t="s">
        <v>51</v>
      </c>
      <c r="B22" s="161">
        <v>1</v>
      </c>
      <c r="C22" s="161">
        <v>1</v>
      </c>
      <c r="E22" s="339" t="s">
        <v>163</v>
      </c>
      <c r="F22" s="340">
        <f>IFERROR(VLOOKUP($B$6,'State Data Rollup &amp; Size Tags'!$A$7:$M$57,5),"")</f>
        <v>180</v>
      </c>
      <c r="G22" s="201"/>
    </row>
    <row r="23" spans="1:7" ht="12.75" thickBot="1" x14ac:dyDescent="0.25">
      <c r="A23" s="134" t="s">
        <v>52</v>
      </c>
      <c r="B23" s="161">
        <v>1</v>
      </c>
      <c r="C23" s="161">
        <v>1</v>
      </c>
      <c r="E23" s="339" t="s">
        <v>166</v>
      </c>
      <c r="F23" s="340">
        <f>IFERROR(VLOOKUP($B$6,'State Data Rollup &amp; Size Tags'!$A$7:$M$57,6),"")</f>
        <v>2628</v>
      </c>
      <c r="G23" s="201"/>
    </row>
    <row r="24" spans="1:7" ht="12.75" thickBot="1" x14ac:dyDescent="0.25">
      <c r="A24" s="134" t="s">
        <v>53</v>
      </c>
      <c r="B24" s="161">
        <v>1</v>
      </c>
      <c r="C24" s="161">
        <v>1</v>
      </c>
      <c r="E24" s="339" t="s">
        <v>167</v>
      </c>
      <c r="F24" s="340">
        <f>IFERROR(VLOOKUP($B$6,'State Data Rollup &amp; Size Tags'!$A$7:$M$57,7),"")</f>
        <v>0</v>
      </c>
    </row>
    <row r="25" spans="1:7" ht="12.75" thickBot="1" x14ac:dyDescent="0.25">
      <c r="A25" s="134" t="s">
        <v>54</v>
      </c>
      <c r="B25" s="162">
        <v>1</v>
      </c>
      <c r="C25" s="162">
        <v>1</v>
      </c>
      <c r="E25" s="339" t="s">
        <v>164</v>
      </c>
      <c r="F25" s="340">
        <f>IFERROR(VLOOKUP($B$6,'State Data Rollup &amp; Size Tags'!$A$7:$M$57,8),"")</f>
        <v>271</v>
      </c>
    </row>
    <row r="26" spans="1:7" ht="12.75" thickBot="1" x14ac:dyDescent="0.25">
      <c r="A26" s="134" t="s">
        <v>55</v>
      </c>
      <c r="B26" s="161">
        <v>1</v>
      </c>
      <c r="C26" s="161">
        <v>1</v>
      </c>
      <c r="E26" s="339" t="s">
        <v>165</v>
      </c>
      <c r="F26" s="340">
        <f>IFERROR(VLOOKUP($B$6,'State Data Rollup &amp; Size Tags'!$A$7:$M$57,9),"")</f>
        <v>62</v>
      </c>
    </row>
    <row r="27" spans="1:7" ht="12.75" thickBot="1" x14ac:dyDescent="0.25">
      <c r="A27" s="134" t="s">
        <v>56</v>
      </c>
      <c r="B27" s="161">
        <v>1</v>
      </c>
      <c r="C27" s="161">
        <v>1</v>
      </c>
      <c r="E27" s="341" t="s">
        <v>168</v>
      </c>
      <c r="F27" s="342">
        <f>IFERROR(VLOOKUP($B$6,'State Data Rollup &amp; Size Tags'!$A$7:$M$57,10),"")</f>
        <v>1</v>
      </c>
    </row>
    <row r="31" spans="1:7" x14ac:dyDescent="0.2">
      <c r="D31" s="243"/>
    </row>
    <row r="45" spans="1:1" ht="12.75" thickBot="1" x14ac:dyDescent="0.25">
      <c r="A45" s="156"/>
    </row>
  </sheetData>
  <pageMargins left="0.7" right="0.7" top="0.75" bottom="0.75" header="0.3" footer="0.3"/>
  <pageSetup scale="67" orientation="portrait"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1D7D1BD8-FF40-468A-95FB-F4BC3AC2DDCE}">
          <x14:formula1>
            <xm:f>'Dropdown Menus'!$J$2:$J$53</xm:f>
          </x14:formula1>
          <xm:sqref>B6</xm:sqref>
        </x14:dataValidation>
        <x14:dataValidation type="list" allowBlank="1" showInputMessage="1" showErrorMessage="1" xr:uid="{A9873367-BBA6-49B8-97FD-187E6B9272D5}">
          <x14:formula1>
            <xm:f>'Dropdown Menus'!#REF!</xm:f>
          </x14:formula1>
          <xm:sqref>D20:D27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FFA70-EC60-4AE6-9559-4F92F4BA8D73}">
  <sheetPr>
    <tabColor theme="8" tint="0.39997558519241921"/>
  </sheetPr>
  <dimension ref="A1:J42"/>
  <sheetViews>
    <sheetView view="pageBreakPreview" zoomScale="145" zoomScaleNormal="130" zoomScaleSheetLayoutView="145" workbookViewId="0">
      <selection activeCell="C10" sqref="C10"/>
    </sheetView>
  </sheetViews>
  <sheetFormatPr defaultColWidth="9.140625" defaultRowHeight="12" x14ac:dyDescent="0.2"/>
  <cols>
    <col min="1" max="1" width="23.7109375" style="134" customWidth="1"/>
    <col min="2" max="2" width="16.5703125" style="134" customWidth="1"/>
    <col min="3" max="4" width="14.7109375" style="134" customWidth="1"/>
    <col min="5" max="5" width="23.140625" style="134" customWidth="1"/>
    <col min="6" max="6" width="10.42578125" style="134" customWidth="1"/>
    <col min="7" max="9" width="14.7109375" style="134" customWidth="1"/>
    <col min="10" max="10" width="12.28515625" style="134" bestFit="1" customWidth="1"/>
    <col min="11" max="16384" width="9.140625" style="134"/>
  </cols>
  <sheetData>
    <row r="1" spans="1:10" x14ac:dyDescent="0.2">
      <c r="A1" s="133" t="s">
        <v>941</v>
      </c>
      <c r="J1" s="210"/>
    </row>
    <row r="2" spans="1:10" x14ac:dyDescent="0.2">
      <c r="A2" s="133" t="s">
        <v>2</v>
      </c>
    </row>
    <row r="3" spans="1:10" x14ac:dyDescent="0.2">
      <c r="A3" s="135" t="str">
        <f>INSTRUCTIONS!A3</f>
        <v>March 2022</v>
      </c>
    </row>
    <row r="4" spans="1:10" x14ac:dyDescent="0.2">
      <c r="A4" s="154" t="s">
        <v>851</v>
      </c>
    </row>
    <row r="6" spans="1:10" x14ac:dyDescent="0.2">
      <c r="A6" s="178" t="s">
        <v>29</v>
      </c>
      <c r="B6" s="137"/>
    </row>
    <row r="7" spans="1:10" x14ac:dyDescent="0.2">
      <c r="A7" s="134" t="s">
        <v>849</v>
      </c>
      <c r="B7" s="243">
        <f>IFERROR(((F17/100000)*((B17*B27)+(C17*B28))+(F18*((B18*B27)+(C18*B28)))+(F19*((B19)+(C19*B28)))+(F20*((B20*B27)+(C20*B28)))+(F21*((B21*B27)+(C21*B28)))+(F22*((B22*B27)+(C22*B28)))+(F23*((B23*B27)+(C23*B28)))+(F24*((B24*B27)+(C24*B28)))),"")</f>
        <v>5576</v>
      </c>
    </row>
    <row r="8" spans="1:10" x14ac:dyDescent="0.2">
      <c r="A8" s="137" t="s">
        <v>850</v>
      </c>
      <c r="B8" s="138">
        <f>IFERROR(((Assumptions!$B$33/Assumptions!$B$32)*'Regional Estimate'!B7),"")</f>
        <v>3717.3333333333339</v>
      </c>
    </row>
    <row r="9" spans="1:10" x14ac:dyDescent="0.2">
      <c r="A9" s="133" t="s">
        <v>257</v>
      </c>
      <c r="B9" s="153">
        <f>SUM(B7:B8)</f>
        <v>9293.3333333333339</v>
      </c>
    </row>
    <row r="11" spans="1:10" x14ac:dyDescent="0.2">
      <c r="A11" s="134" t="s">
        <v>35</v>
      </c>
      <c r="B11" s="170">
        <f>IFERROR((B7*Assumptions!B36),"")</f>
        <v>535621855.98546231</v>
      </c>
    </row>
    <row r="12" spans="1:10" x14ac:dyDescent="0.2">
      <c r="A12" s="137" t="s">
        <v>36</v>
      </c>
      <c r="B12" s="250">
        <f>IFERROR(((Assumptions!B33/Assumptions!B32)*'Regional Estimate'!B11),"")</f>
        <v>357081237.3236416</v>
      </c>
    </row>
    <row r="13" spans="1:10" x14ac:dyDescent="0.2">
      <c r="A13" s="133" t="s">
        <v>87</v>
      </c>
      <c r="B13" s="201">
        <f>SUM(B11:B12)</f>
        <v>892703093.30910397</v>
      </c>
    </row>
    <row r="15" spans="1:10" x14ac:dyDescent="0.2">
      <c r="A15" s="140" t="s">
        <v>878</v>
      </c>
      <c r="B15" s="140"/>
      <c r="C15" s="140"/>
      <c r="E15" s="140" t="s">
        <v>852</v>
      </c>
      <c r="F15" s="140"/>
      <c r="G15" s="133"/>
    </row>
    <row r="16" spans="1:10" ht="29.45" customHeight="1" thickBot="1" x14ac:dyDescent="0.25">
      <c r="A16" s="157" t="s">
        <v>46</v>
      </c>
      <c r="B16" s="157" t="s">
        <v>47</v>
      </c>
      <c r="C16" s="157" t="s">
        <v>48</v>
      </c>
      <c r="E16" s="157" t="s">
        <v>715</v>
      </c>
      <c r="F16" s="157"/>
      <c r="G16" s="153"/>
    </row>
    <row r="17" spans="1:7" x14ac:dyDescent="0.2">
      <c r="A17" s="353" t="s">
        <v>49</v>
      </c>
      <c r="B17" s="344">
        <v>1</v>
      </c>
      <c r="C17" s="345">
        <v>1</v>
      </c>
      <c r="E17" s="337" t="s">
        <v>156</v>
      </c>
      <c r="F17" s="350">
        <v>5000000</v>
      </c>
      <c r="G17" s="153"/>
    </row>
    <row r="18" spans="1:7" x14ac:dyDescent="0.2">
      <c r="A18" s="169" t="s">
        <v>50</v>
      </c>
      <c r="B18" s="346">
        <v>1</v>
      </c>
      <c r="C18" s="347">
        <v>1</v>
      </c>
      <c r="E18" s="339" t="s">
        <v>169</v>
      </c>
      <c r="F18" s="351">
        <v>200</v>
      </c>
      <c r="G18" s="153"/>
    </row>
    <row r="19" spans="1:7" x14ac:dyDescent="0.2">
      <c r="A19" s="169" t="s">
        <v>51</v>
      </c>
      <c r="B19" s="346">
        <v>1</v>
      </c>
      <c r="C19" s="347">
        <v>1</v>
      </c>
      <c r="E19" s="339" t="s">
        <v>163</v>
      </c>
      <c r="F19" s="351">
        <v>50</v>
      </c>
      <c r="G19" s="201"/>
    </row>
    <row r="20" spans="1:7" x14ac:dyDescent="0.2">
      <c r="A20" s="169" t="s">
        <v>52</v>
      </c>
      <c r="B20" s="346">
        <v>1</v>
      </c>
      <c r="C20" s="347">
        <v>1</v>
      </c>
      <c r="E20" s="339" t="s">
        <v>166</v>
      </c>
      <c r="F20" s="351">
        <v>5</v>
      </c>
      <c r="G20" s="201"/>
    </row>
    <row r="21" spans="1:7" x14ac:dyDescent="0.2">
      <c r="A21" s="169" t="s">
        <v>53</v>
      </c>
      <c r="B21" s="346">
        <v>1</v>
      </c>
      <c r="C21" s="347">
        <v>1</v>
      </c>
      <c r="E21" s="339" t="s">
        <v>167</v>
      </c>
      <c r="F21" s="351">
        <v>85</v>
      </c>
    </row>
    <row r="22" spans="1:7" x14ac:dyDescent="0.2">
      <c r="A22" s="169" t="s">
        <v>54</v>
      </c>
      <c r="B22" s="346">
        <v>1</v>
      </c>
      <c r="C22" s="347">
        <v>1</v>
      </c>
      <c r="E22" s="339" t="s">
        <v>164</v>
      </c>
      <c r="F22" s="351">
        <v>40</v>
      </c>
    </row>
    <row r="23" spans="1:7" x14ac:dyDescent="0.2">
      <c r="A23" s="169" t="s">
        <v>55</v>
      </c>
      <c r="B23" s="346">
        <v>1</v>
      </c>
      <c r="C23" s="347">
        <v>1</v>
      </c>
      <c r="E23" s="339" t="s">
        <v>165</v>
      </c>
      <c r="F23" s="351">
        <v>20</v>
      </c>
    </row>
    <row r="24" spans="1:7" ht="12.75" thickBot="1" x14ac:dyDescent="0.25">
      <c r="A24" s="261" t="s">
        <v>56</v>
      </c>
      <c r="B24" s="348">
        <v>1</v>
      </c>
      <c r="C24" s="349">
        <v>1</v>
      </c>
      <c r="E24" s="341" t="s">
        <v>168</v>
      </c>
      <c r="F24" s="352">
        <v>2</v>
      </c>
    </row>
    <row r="27" spans="1:7" x14ac:dyDescent="0.2">
      <c r="A27" s="202" t="s">
        <v>895</v>
      </c>
      <c r="B27" s="336">
        <f>Assumptions!B14</f>
        <v>7</v>
      </c>
    </row>
    <row r="28" spans="1:7" ht="24" x14ac:dyDescent="0.2">
      <c r="A28" s="202" t="s">
        <v>44</v>
      </c>
      <c r="B28" s="343">
        <f>Assumptions!B23</f>
        <v>6</v>
      </c>
      <c r="D28" s="243"/>
    </row>
    <row r="42" spans="1:1" ht="12.75" thickBot="1" x14ac:dyDescent="0.25">
      <c r="A42" s="156"/>
    </row>
  </sheetData>
  <pageMargins left="0.7" right="0.7" top="0.75" bottom="0.75" header="0.3" footer="0.3"/>
  <pageSetup scale="67"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CDE90504-6C1C-49EC-8DE2-8DD0C5767DBB}">
          <x14:formula1>
            <xm:f>'Dropdown Menus'!#REF!</xm:f>
          </x14:formula1>
          <xm:sqref>D17:D24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C68D4-F54E-4CB9-AF67-024DA34A3703}">
  <sheetPr>
    <tabColor theme="8" tint="0.39997558519241921"/>
  </sheetPr>
  <dimension ref="A1:H37"/>
  <sheetViews>
    <sheetView zoomScale="145" zoomScaleNormal="145" zoomScaleSheetLayoutView="145" workbookViewId="0"/>
  </sheetViews>
  <sheetFormatPr defaultColWidth="9.140625" defaultRowHeight="12" x14ac:dyDescent="0.2"/>
  <cols>
    <col min="1" max="1" width="28.140625" style="134" bestFit="1" customWidth="1"/>
    <col min="2" max="6" width="13.7109375" style="134" customWidth="1"/>
    <col min="7" max="7" width="9.140625" style="134"/>
    <col min="8" max="9" width="12" style="134" bestFit="1" customWidth="1"/>
    <col min="10" max="16384" width="9.140625" style="134"/>
  </cols>
  <sheetData>
    <row r="1" spans="1:6" x14ac:dyDescent="0.2">
      <c r="A1" s="133" t="s">
        <v>941</v>
      </c>
      <c r="F1" s="210"/>
    </row>
    <row r="2" spans="1:6" x14ac:dyDescent="0.2">
      <c r="A2" s="133" t="s">
        <v>2</v>
      </c>
    </row>
    <row r="3" spans="1:6" x14ac:dyDescent="0.2">
      <c r="A3" s="135" t="str">
        <f>INSTRUCTIONS!A3</f>
        <v>March 2022</v>
      </c>
    </row>
    <row r="4" spans="1:6" x14ac:dyDescent="0.2">
      <c r="A4" s="154" t="s">
        <v>890</v>
      </c>
    </row>
    <row r="6" spans="1:6" ht="12.75" thickBot="1" x14ac:dyDescent="0.25">
      <c r="A6" s="157" t="s">
        <v>69</v>
      </c>
      <c r="B6" s="157"/>
    </row>
    <row r="7" spans="1:6" ht="12.75" thickBot="1" x14ac:dyDescent="0.25">
      <c r="A7" s="134" t="str">
        <f>'Dropdown Menus'!E8</f>
        <v>Regional: General</v>
      </c>
      <c r="B7" s="160">
        <v>5</v>
      </c>
    </row>
    <row r="8" spans="1:6" ht="12.75" thickBot="1" x14ac:dyDescent="0.25">
      <c r="A8" s="134" t="str">
        <f>'Dropdown Menus'!E9</f>
        <v>Regional: Multiple Related Topics</v>
      </c>
      <c r="B8" s="161">
        <v>5</v>
      </c>
    </row>
    <row r="9" spans="1:6" ht="12.75" thickBot="1" x14ac:dyDescent="0.25">
      <c r="A9" s="134" t="str">
        <f>'Dropdown Menus'!E10</f>
        <v>Regional: Single-Topic</v>
      </c>
      <c r="B9" s="161">
        <v>25</v>
      </c>
      <c r="D9" s="134" t="s">
        <v>70</v>
      </c>
    </row>
    <row r="10" spans="1:6" ht="12.75" thickBot="1" x14ac:dyDescent="0.25">
      <c r="A10" s="134" t="str">
        <f>'Dropdown Menus'!F8</f>
        <v>Regional: Explanatory &amp; Analysis</v>
      </c>
      <c r="B10" s="162">
        <v>5</v>
      </c>
    </row>
    <row r="11" spans="1:6" ht="12.75" thickBot="1" x14ac:dyDescent="0.25">
      <c r="A11" s="134" t="str">
        <f>'Dropdown Menus'!F9</f>
        <v>Regional: Investigative</v>
      </c>
      <c r="B11" s="161">
        <v>5</v>
      </c>
    </row>
    <row r="12" spans="1:6" ht="12.75" thickBot="1" x14ac:dyDescent="0.25">
      <c r="A12" s="134" t="str">
        <f>'Dropdown Menus'!F10</f>
        <v>Regional: Current News &amp; Events</v>
      </c>
      <c r="B12" s="162">
        <v>5</v>
      </c>
    </row>
    <row r="13" spans="1:6" ht="12.75" thickBot="1" x14ac:dyDescent="0.25">
      <c r="A13" s="134" t="str">
        <f>'Dropdown Menus'!E11</f>
        <v>National: General</v>
      </c>
      <c r="B13" s="161">
        <v>10</v>
      </c>
    </row>
    <row r="14" spans="1:6" ht="12.75" thickBot="1" x14ac:dyDescent="0.25">
      <c r="A14" s="134" t="str">
        <f>'Dropdown Menus'!E12</f>
        <v>National: Multiple Related Topics</v>
      </c>
      <c r="B14" s="161">
        <v>10</v>
      </c>
    </row>
    <row r="15" spans="1:6" ht="12.75" thickBot="1" x14ac:dyDescent="0.25">
      <c r="A15" s="134" t="str">
        <f>'Dropdown Menus'!E13</f>
        <v>National: Single-Topic</v>
      </c>
      <c r="B15" s="163">
        <v>7</v>
      </c>
    </row>
    <row r="16" spans="1:6" ht="12.75" thickBot="1" x14ac:dyDescent="0.25">
      <c r="A16" s="134" t="str">
        <f>'Dropdown Menus'!F11</f>
        <v>National: Explanatory &amp; Analysis</v>
      </c>
      <c r="B16" s="163">
        <v>10</v>
      </c>
    </row>
    <row r="17" spans="1:8" ht="12.75" thickBot="1" x14ac:dyDescent="0.25">
      <c r="A17" s="134" t="str">
        <f>'Dropdown Menus'!F12</f>
        <v>National: Investigative</v>
      </c>
      <c r="B17" s="163">
        <v>10</v>
      </c>
    </row>
    <row r="18" spans="1:8" ht="12.75" thickBot="1" x14ac:dyDescent="0.25">
      <c r="A18" s="134" t="str">
        <f>'Dropdown Menus'!F13</f>
        <v>National: Current News &amp; Events</v>
      </c>
      <c r="B18" s="163">
        <v>10</v>
      </c>
    </row>
    <row r="19" spans="1:8" ht="12.75" thickBot="1" x14ac:dyDescent="0.25">
      <c r="A19" s="134" t="s">
        <v>71</v>
      </c>
      <c r="B19" s="163">
        <v>25</v>
      </c>
    </row>
    <row r="20" spans="1:8" ht="12.75" thickBot="1" x14ac:dyDescent="0.25">
      <c r="A20" s="134" t="s">
        <v>72</v>
      </c>
      <c r="B20" s="163">
        <v>50</v>
      </c>
    </row>
    <row r="22" spans="1:8" ht="36" x14ac:dyDescent="0.2">
      <c r="A22" s="147"/>
      <c r="B22" s="147" t="s">
        <v>35</v>
      </c>
      <c r="C22" s="147" t="s">
        <v>36</v>
      </c>
      <c r="D22" s="147" t="s">
        <v>37</v>
      </c>
      <c r="E22" s="147" t="s">
        <v>38</v>
      </c>
      <c r="F22" s="147" t="s">
        <v>39</v>
      </c>
    </row>
    <row r="23" spans="1:8" x14ac:dyDescent="0.2">
      <c r="A23" s="134" t="str">
        <f>A7</f>
        <v>Regional: General</v>
      </c>
      <c r="B23" s="253">
        <f>$B7*HLOOKUP($A23,'Model Org Stats'!$H$6:$CO$38,21, FALSE)</f>
        <v>8285439.0000000028</v>
      </c>
      <c r="C23" s="253">
        <f>B7*HLOOKUP($A23,'Model Org Stats'!$H$6:$CO$38,22, FALSE)</f>
        <v>8335074.0000000028</v>
      </c>
      <c r="D23" s="253">
        <f>SUM(B23:C23)</f>
        <v>16620513.000000006</v>
      </c>
      <c r="E23" s="240">
        <f>B23/(HLOOKUP($A23,'Model Org Stats'!$H$6:$CO$38,31, FALSE))</f>
        <v>68.05</v>
      </c>
      <c r="F23" s="240">
        <f>(Assumptions!$B$33/Assumptions!$B$32)*'By Org Type - Regional National'!E23</f>
        <v>45.366666666666667</v>
      </c>
      <c r="H23" s="200"/>
    </row>
    <row r="24" spans="1:8" x14ac:dyDescent="0.2">
      <c r="A24" s="134" t="str">
        <f>A8</f>
        <v>Regional: Multiple Related Topics</v>
      </c>
      <c r="B24" s="253">
        <f>$B8*HLOOKUP($A24,'Model Org Stats'!$H$6:$CO$38,21, FALSE)</f>
        <v>776417.5</v>
      </c>
      <c r="C24" s="253">
        <f>B8*HLOOKUP($A24,'Model Org Stats'!$H$6:$CO$38,22, FALSE)</f>
        <v>908463.75</v>
      </c>
      <c r="D24" s="253">
        <f t="shared" ref="D24:D36" si="0">SUM(B24:C24)</f>
        <v>1684881.25</v>
      </c>
      <c r="E24" s="240">
        <f>B24/(HLOOKUP($A24,'Model Org Stats'!$H$6:$CO$38,31, FALSE))</f>
        <v>30.681818181818191</v>
      </c>
      <c r="F24" s="240">
        <f>(Assumptions!$B$33/Assumptions!$B$32)*'By Org Type - Regional National'!E24</f>
        <v>20.454545454545464</v>
      </c>
    </row>
    <row r="25" spans="1:8" x14ac:dyDescent="0.2">
      <c r="A25" s="134" t="str">
        <f>A9</f>
        <v>Regional: Single-Topic</v>
      </c>
      <c r="B25" s="253">
        <f>$B9*HLOOKUP($A25,'Model Org Stats'!$H$6:$CO$38,21, FALSE)</f>
        <v>7616762.5</v>
      </c>
      <c r="C25" s="253">
        <f>B9*HLOOKUP($A25,'Model Org Stats'!$H$6:$CO$38,22, FALSE)</f>
        <v>2582446.875</v>
      </c>
      <c r="D25" s="253">
        <f t="shared" si="0"/>
        <v>10199209.375</v>
      </c>
      <c r="E25" s="240">
        <f>B25/(HLOOKUP($A25,'Model Org Stats'!$H$6:$CO$38,31, FALSE))</f>
        <v>123.21428571428574</v>
      </c>
      <c r="F25" s="240">
        <f>(Assumptions!$B$33/Assumptions!$B$32)*'By Org Type - Regional National'!E25</f>
        <v>82.142857142857167</v>
      </c>
    </row>
    <row r="26" spans="1:8" x14ac:dyDescent="0.2">
      <c r="A26" s="134" t="str">
        <f t="shared" ref="A26:A28" si="1">A10</f>
        <v>Regional: Explanatory &amp; Analysis</v>
      </c>
      <c r="B26" s="253">
        <f>$B10*HLOOKUP($A26,'Model Org Stats'!$H$6:$CO$38,21, FALSE)</f>
        <v>4903155.4999999991</v>
      </c>
      <c r="C26" s="253">
        <f>B10*HLOOKUP($A26,'Model Org Stats'!$H$6:$CO$38,22, FALSE)</f>
        <v>3493891.0000000005</v>
      </c>
      <c r="D26" s="253">
        <f t="shared" si="0"/>
        <v>8397046.5</v>
      </c>
      <c r="E26" s="240">
        <f>B26/(HLOOKUP($A26,'Model Org Stats'!$H$6:$CO$38,31, FALSE))</f>
        <v>69.312500000000014</v>
      </c>
      <c r="F26" s="240">
        <f>(Assumptions!$B$33/Assumptions!$B$32)*'By Org Type - Regional National'!E26</f>
        <v>46.20833333333335</v>
      </c>
    </row>
    <row r="27" spans="1:8" x14ac:dyDescent="0.2">
      <c r="A27" s="134" t="str">
        <f t="shared" si="1"/>
        <v>Regional: Investigative</v>
      </c>
      <c r="B27" s="253">
        <f>$B11*HLOOKUP($A27,'Model Org Stats'!$H$6:$CO$38,21, FALSE)</f>
        <v>988133.33333333349</v>
      </c>
      <c r="C27" s="253">
        <f>B11*HLOOKUP($A27,'Model Org Stats'!$H$6:$CO$38,22, FALSE)</f>
        <v>388927.5</v>
      </c>
      <c r="D27" s="253">
        <f t="shared" si="0"/>
        <v>1377060.8333333335</v>
      </c>
      <c r="E27" s="240">
        <f>B27/(HLOOKUP($A27,'Model Org Stats'!$H$6:$CO$38,31, FALSE))</f>
        <v>15.555555555555557</v>
      </c>
      <c r="F27" s="240">
        <f>(Assumptions!$B$33/Assumptions!$B$32)*'By Org Type - Regional National'!E27</f>
        <v>10.370370370370372</v>
      </c>
    </row>
    <row r="28" spans="1:8" x14ac:dyDescent="0.2">
      <c r="A28" s="134" t="str">
        <f t="shared" si="1"/>
        <v>Regional: Current News &amp; Events</v>
      </c>
      <c r="B28" s="253">
        <f>$B12*HLOOKUP($A28,'Model Org Stats'!$H$6:$CO$38,21, FALSE)</f>
        <v>973000</v>
      </c>
      <c r="C28" s="253">
        <f>B12*HLOOKUP($A28,'Model Org Stats'!$H$6:$CO$38,22, FALSE)</f>
        <v>3160503.9999999995</v>
      </c>
      <c r="D28" s="253">
        <f t="shared" si="0"/>
        <v>4133503.9999999995</v>
      </c>
      <c r="E28" s="240">
        <f>B28/(HLOOKUP($A28,'Model Org Stats'!$H$6:$CO$38,31, FALSE))</f>
        <v>31.25</v>
      </c>
      <c r="F28" s="240">
        <f>(Assumptions!$B$33/Assumptions!$B$32)*'By Org Type - Regional National'!E28</f>
        <v>20.833333333333336</v>
      </c>
    </row>
    <row r="29" spans="1:8" x14ac:dyDescent="0.2">
      <c r="A29" s="134" t="str">
        <f>A13</f>
        <v>National: General</v>
      </c>
      <c r="B29" s="253">
        <f>$B13*HLOOKUP($A29,'Model Org Stats'!$H$6:$CO$38,21, FALSE)</f>
        <v>63963872.5</v>
      </c>
      <c r="C29" s="253">
        <f>B13*HLOOKUP($A29,'Model Org Stats'!$H$6:$CO$38,22, FALSE)</f>
        <v>42771002.787500016</v>
      </c>
      <c r="D29" s="253">
        <f t="shared" si="0"/>
        <v>106734875.28750002</v>
      </c>
      <c r="E29" s="240">
        <f>B29/(HLOOKUP($A29,'Model Org Stats'!$H$6:$CO$38,31, FALSE))</f>
        <v>392.49999999999994</v>
      </c>
      <c r="F29" s="240">
        <f>(Assumptions!$B$33/Assumptions!$B$32)*'By Org Type - Regional National'!E29</f>
        <v>261.66666666666669</v>
      </c>
    </row>
    <row r="30" spans="1:8" x14ac:dyDescent="0.2">
      <c r="A30" s="134" t="str">
        <f>A14</f>
        <v>National: Multiple Related Topics</v>
      </c>
      <c r="B30" s="253">
        <f>$B14*HLOOKUP($A30,'Model Org Stats'!$H$6:$CO$38,21, FALSE)</f>
        <v>13006336.66666667</v>
      </c>
      <c r="C30" s="253">
        <f>B14*HLOOKUP($A30,'Model Org Stats'!$H$6:$CO$38,22, FALSE)</f>
        <v>9401242.7777777761</v>
      </c>
      <c r="D30" s="253">
        <f t="shared" si="0"/>
        <v>22407579.444444448</v>
      </c>
      <c r="E30" s="240">
        <f>B30/(HLOOKUP($A30,'Model Org Stats'!$H$6:$CO$38,31, FALSE))</f>
        <v>127.89999999999996</v>
      </c>
      <c r="F30" s="240">
        <f>(Assumptions!$B$33/Assumptions!$B$32)*'By Org Type - Regional National'!E30</f>
        <v>85.266666666666652</v>
      </c>
      <c r="G30" s="241"/>
    </row>
    <row r="31" spans="1:8" x14ac:dyDescent="0.2">
      <c r="A31" s="134" t="str">
        <f>A15</f>
        <v>National: Single-Topic</v>
      </c>
      <c r="B31" s="253">
        <f>$B15*HLOOKUP($A31,'Model Org Stats'!$H$6:$CO$38,21, FALSE)</f>
        <v>9630499.9595000036</v>
      </c>
      <c r="C31" s="253">
        <f>B15*HLOOKUP($A31,'Model Org Stats'!$H$6:$CO$38,22, FALSE)</f>
        <v>5830918.7474999996</v>
      </c>
      <c r="D31" s="253">
        <f t="shared" si="0"/>
        <v>15461418.707000002</v>
      </c>
      <c r="E31" s="240">
        <f>B31/(HLOOKUP($A31,'Model Org Stats'!$H$6:$CO$38,31, FALSE))</f>
        <v>79.747500000000045</v>
      </c>
      <c r="F31" s="240">
        <f>(Assumptions!$B$33/Assumptions!$B$32)*'By Org Type - Regional National'!E31</f>
        <v>53.165000000000035</v>
      </c>
    </row>
    <row r="32" spans="1:8" x14ac:dyDescent="0.2">
      <c r="A32" s="134" t="str">
        <f t="shared" ref="A32:A34" si="2">A16</f>
        <v>National: Explanatory &amp; Analysis</v>
      </c>
      <c r="B32" s="253">
        <f>$B16*HLOOKUP($A32,'Model Org Stats'!$H$6:$CO$38,21, FALSE)</f>
        <v>10518331.813043477</v>
      </c>
      <c r="C32" s="253">
        <f>B16*HLOOKUP($A32,'Model Org Stats'!$H$6:$CO$38,22, FALSE)</f>
        <v>10233593.078260871</v>
      </c>
      <c r="D32" s="253">
        <f t="shared" si="0"/>
        <v>20751924.891304348</v>
      </c>
      <c r="E32" s="240">
        <f>B32/(HLOOKUP($A32,'Model Org Stats'!$H$6:$CO$38,31, FALSE))</f>
        <v>119.64583333333336</v>
      </c>
      <c r="F32" s="240">
        <f>(Assumptions!$B$33/Assumptions!$B$32)*'By Org Type - Regional National'!E32</f>
        <v>79.763888888888914</v>
      </c>
    </row>
    <row r="33" spans="1:6" x14ac:dyDescent="0.2">
      <c r="A33" s="134" t="str">
        <f t="shared" si="2"/>
        <v>National: Investigative</v>
      </c>
      <c r="B33" s="253">
        <f>$B17*HLOOKUP($A33,'Model Org Stats'!$H$6:$CO$38,21, FALSE)</f>
        <v>27261568</v>
      </c>
      <c r="C33" s="253">
        <f>B17*HLOOKUP($A33,'Model Org Stats'!$H$6:$CO$38,22, FALSE)</f>
        <v>21437241.333333332</v>
      </c>
      <c r="D33" s="253">
        <f t="shared" si="0"/>
        <v>48698809.333333328</v>
      </c>
      <c r="E33" s="240">
        <f>B33/(HLOOKUP($A33,'Model Org Stats'!$H$6:$CO$38,31, FALSE))</f>
        <v>170</v>
      </c>
      <c r="F33" s="240">
        <f>(Assumptions!$B$33/Assumptions!$B$32)*'By Org Type - Regional National'!E33</f>
        <v>113.33333333333334</v>
      </c>
    </row>
    <row r="34" spans="1:6" x14ac:dyDescent="0.2">
      <c r="A34" s="134" t="str">
        <f t="shared" si="2"/>
        <v>National: Current News &amp; Events</v>
      </c>
      <c r="B34" s="253">
        <f>$B18*HLOOKUP($A34,'Model Org Stats'!$H$6:$CO$38,21, FALSE)</f>
        <v>46267128.75</v>
      </c>
      <c r="C34" s="253">
        <f>B18*HLOOKUP($A34,'Model Org Stats'!$H$6:$CO$38,22, FALSE)</f>
        <v>15132101.25</v>
      </c>
      <c r="D34" s="253">
        <f t="shared" si="0"/>
        <v>61399230</v>
      </c>
      <c r="E34" s="240">
        <f>B34/(HLOOKUP($A34,'Model Org Stats'!$H$6:$CO$38,31, FALSE))</f>
        <v>298.125</v>
      </c>
      <c r="F34" s="240">
        <f>(Assumptions!$B$33/Assumptions!$B$32)*'By Org Type - Regional National'!E34</f>
        <v>198.75000000000003</v>
      </c>
    </row>
    <row r="35" spans="1:6" x14ac:dyDescent="0.2">
      <c r="A35" s="134" t="str">
        <f>A19</f>
        <v>Hub: Back Office</v>
      </c>
      <c r="B35" s="253">
        <f>$B19*HLOOKUP($A35,'Model Org Stats'!$H$6:$CO$38,21, FALSE)</f>
        <v>14220569.999999998</v>
      </c>
      <c r="C35" s="253">
        <f>B19*HLOOKUP($A35,'Model Org Stats'!$H$6:$CO$38,22, FALSE)</f>
        <v>9480380</v>
      </c>
      <c r="D35" s="253">
        <f t="shared" si="0"/>
        <v>23700950</v>
      </c>
      <c r="E35" s="330" t="str">
        <f>IFERROR(B35/(HLOOKUP($A35,'Model Org Stats'!$H$6:$CO$38,31, FALSE)),"N/A")</f>
        <v>N/A</v>
      </c>
      <c r="F35" s="240">
        <f>IFERROR(C35/(HLOOKUP($A35,'Model Org Stats'!$H$6:$CO$38,32, FALSE)),"N/A")</f>
        <v>75</v>
      </c>
    </row>
    <row r="36" spans="1:6" x14ac:dyDescent="0.2">
      <c r="A36" s="137" t="str">
        <f>A20</f>
        <v>Hub: Back Office/Shared Reporting</v>
      </c>
      <c r="B36" s="181">
        <f>$B20*HLOOKUP($A36,'Model Org Stats'!$H$6:$CO$38,21, FALSE)</f>
        <v>23976284.999999996</v>
      </c>
      <c r="C36" s="181">
        <f>B20*HLOOKUP($A36,'Model Org Stats'!$H$6:$CO$38,22, FALSE)</f>
        <v>15984190.000000002</v>
      </c>
      <c r="D36" s="181">
        <f t="shared" si="0"/>
        <v>39960475</v>
      </c>
      <c r="E36" s="138">
        <f>B36/(HLOOKUP($A36,'Model Org Stats'!$H$6:$CO$38,31, FALSE))</f>
        <v>299.99999999999994</v>
      </c>
      <c r="F36" s="138">
        <f>(Assumptions!$B$33/Assumptions!$B$32)*'By Org Type - Regional National'!E36</f>
        <v>199.99999999999997</v>
      </c>
    </row>
    <row r="37" spans="1:6" x14ac:dyDescent="0.2">
      <c r="A37" s="133" t="s">
        <v>60</v>
      </c>
      <c r="B37" s="201">
        <f>SUM(B23:B36)</f>
        <v>232387500.52254349</v>
      </c>
      <c r="C37" s="201">
        <f>SUM(C23:C36)</f>
        <v>149139977.099372</v>
      </c>
      <c r="D37" s="201">
        <f>SUM(D23:D36)</f>
        <v>381527477.62191552</v>
      </c>
      <c r="E37" s="155">
        <f>SUM(E23:E36)</f>
        <v>1825.9824927849927</v>
      </c>
      <c r="F37" s="155">
        <f>SUM(F23:F36)</f>
        <v>1292.3216618566621</v>
      </c>
    </row>
  </sheetData>
  <pageMargins left="0.7" right="0.7" top="0.75" bottom="0.75" header="0.3" footer="0.3"/>
  <pageSetup scale="83" orientation="portrait" horizontalDpi="1200" verticalDpi="1200" r:id="rId1"/>
  <ignoredErrors>
    <ignoredError sqref="E35"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F1BC6-CA3A-4F92-B455-DC0BCF0C7B90}">
  <sheetPr>
    <tabColor theme="8" tint="0.39997558519241921"/>
  </sheetPr>
  <dimension ref="A1:K143"/>
  <sheetViews>
    <sheetView view="pageBreakPreview" topLeftCell="B1" zoomScale="145" zoomScaleNormal="130" zoomScaleSheetLayoutView="145" workbookViewId="0">
      <selection activeCell="B1" sqref="B1"/>
    </sheetView>
  </sheetViews>
  <sheetFormatPr defaultColWidth="9.140625" defaultRowHeight="12" outlineLevelRow="1" outlineLevelCol="1" x14ac:dyDescent="0.2"/>
  <cols>
    <col min="1" max="1" width="20.85546875" style="134" hidden="1" customWidth="1" outlineLevel="1"/>
    <col min="2" max="2" width="9.42578125" style="134" customWidth="1" collapsed="1"/>
    <col min="3" max="3" width="16.42578125" style="134" bestFit="1" customWidth="1"/>
    <col min="4" max="11" width="13.5703125" style="134" customWidth="1"/>
    <col min="12" max="12" width="12" style="134" bestFit="1" customWidth="1"/>
    <col min="13" max="16384" width="9.140625" style="134"/>
  </cols>
  <sheetData>
    <row r="1" spans="1:11" x14ac:dyDescent="0.2">
      <c r="B1" s="133" t="s">
        <v>941</v>
      </c>
      <c r="K1" s="210"/>
    </row>
    <row r="2" spans="1:11" x14ac:dyDescent="0.2">
      <c r="B2" s="133" t="s">
        <v>2</v>
      </c>
    </row>
    <row r="3" spans="1:11" x14ac:dyDescent="0.2">
      <c r="B3" s="135" t="str">
        <f>INSTRUCTIONS!A3</f>
        <v>March 2022</v>
      </c>
    </row>
    <row r="4" spans="1:11" x14ac:dyDescent="0.2">
      <c r="B4" s="154" t="s">
        <v>73</v>
      </c>
    </row>
    <row r="6" spans="1:11" x14ac:dyDescent="0.2">
      <c r="B6" s="140" t="s">
        <v>865</v>
      </c>
      <c r="C6" s="140"/>
      <c r="D6" s="140"/>
      <c r="E6" s="140"/>
      <c r="F6" s="140"/>
      <c r="G6" s="140"/>
      <c r="H6" s="140"/>
      <c r="I6" s="140"/>
      <c r="J6" s="140"/>
      <c r="K6" s="140"/>
    </row>
    <row r="7" spans="1:11" ht="24.75" thickBot="1" x14ac:dyDescent="0.25">
      <c r="B7" s="147" t="s">
        <v>74</v>
      </c>
      <c r="C7" s="147" t="s">
        <v>75</v>
      </c>
      <c r="D7" s="147" t="s">
        <v>59</v>
      </c>
      <c r="E7" s="147" t="s">
        <v>50</v>
      </c>
      <c r="F7" s="147" t="s">
        <v>51</v>
      </c>
      <c r="G7" s="147" t="s">
        <v>54</v>
      </c>
      <c r="H7" s="147" t="s">
        <v>55</v>
      </c>
      <c r="I7" s="147" t="s">
        <v>52</v>
      </c>
      <c r="J7" s="147" t="s">
        <v>53</v>
      </c>
      <c r="K7" s="147" t="s">
        <v>56</v>
      </c>
    </row>
    <row r="8" spans="1:11" ht="12.75" thickBot="1" x14ac:dyDescent="0.25">
      <c r="A8" s="134" t="str">
        <f>'Dropdown Menus'!E14</f>
        <v>Hyper-local: General</v>
      </c>
      <c r="B8" s="324" t="s">
        <v>76</v>
      </c>
      <c r="C8" s="317" t="s">
        <v>77</v>
      </c>
      <c r="D8" s="161"/>
      <c r="E8" s="161">
        <v>1</v>
      </c>
      <c r="F8" s="161"/>
      <c r="G8" s="161"/>
      <c r="H8" s="161"/>
      <c r="I8" s="161"/>
      <c r="J8" s="161"/>
      <c r="K8" s="161"/>
    </row>
    <row r="9" spans="1:11" ht="12.75" thickBot="1" x14ac:dyDescent="0.25">
      <c r="A9" s="134" t="str">
        <f>'Dropdown Menus'!E2</f>
        <v>Local: General</v>
      </c>
      <c r="B9" s="325" t="s">
        <v>7</v>
      </c>
      <c r="C9" s="318" t="s">
        <v>77</v>
      </c>
      <c r="D9" s="162"/>
      <c r="E9" s="162"/>
      <c r="F9" s="162"/>
      <c r="G9" s="162"/>
      <c r="H9" s="162">
        <v>1</v>
      </c>
      <c r="I9" s="162"/>
      <c r="J9" s="162"/>
      <c r="K9" s="162"/>
    </row>
    <row r="10" spans="1:11" ht="12.75" thickBot="1" x14ac:dyDescent="0.25">
      <c r="A10" s="134" t="str">
        <f>'Dropdown Menus'!E3</f>
        <v>Local: Multiple Related Topics</v>
      </c>
      <c r="B10" s="326"/>
      <c r="C10" s="320" t="s">
        <v>78</v>
      </c>
      <c r="D10" s="161"/>
      <c r="E10" s="161">
        <v>1</v>
      </c>
      <c r="F10" s="161"/>
      <c r="G10" s="161">
        <v>1</v>
      </c>
      <c r="H10" s="161"/>
      <c r="I10" s="161"/>
      <c r="J10" s="161"/>
      <c r="K10" s="161"/>
    </row>
    <row r="11" spans="1:11" ht="12.75" thickBot="1" x14ac:dyDescent="0.25">
      <c r="A11" s="134" t="str">
        <f>'Dropdown Menus'!E4</f>
        <v>Local: Single-Topic</v>
      </c>
      <c r="B11" s="326"/>
      <c r="C11" s="320" t="s">
        <v>79</v>
      </c>
      <c r="D11" s="161"/>
      <c r="E11" s="161"/>
      <c r="F11" s="161">
        <v>1</v>
      </c>
      <c r="G11" s="161"/>
      <c r="H11" s="161"/>
      <c r="I11" s="161"/>
      <c r="J11" s="161"/>
      <c r="K11" s="161"/>
    </row>
    <row r="12" spans="1:11" ht="12.75" thickBot="1" x14ac:dyDescent="0.25">
      <c r="A12" s="134" t="str">
        <f>'Dropdown Menus'!F2</f>
        <v>Local: Explanatory &amp; Analysis</v>
      </c>
      <c r="B12" s="326"/>
      <c r="C12" s="320" t="s">
        <v>80</v>
      </c>
      <c r="D12" s="162"/>
      <c r="E12" s="162">
        <v>1</v>
      </c>
      <c r="F12" s="162"/>
      <c r="G12" s="162"/>
      <c r="H12" s="162"/>
      <c r="I12" s="162"/>
      <c r="J12" s="162"/>
      <c r="K12" s="162">
        <v>1</v>
      </c>
    </row>
    <row r="13" spans="1:11" ht="12.75" thickBot="1" x14ac:dyDescent="0.25">
      <c r="A13" s="134" t="str">
        <f>'Dropdown Menus'!F3</f>
        <v>Local: Investigative</v>
      </c>
      <c r="B13" s="326"/>
      <c r="C13" s="320" t="s">
        <v>81</v>
      </c>
      <c r="D13" s="161"/>
      <c r="E13" s="161"/>
      <c r="F13" s="161"/>
      <c r="G13" s="161"/>
      <c r="H13" s="161"/>
      <c r="I13" s="161"/>
      <c r="J13" s="161"/>
      <c r="K13" s="161">
        <v>1</v>
      </c>
    </row>
    <row r="14" spans="1:11" ht="12.75" thickBot="1" x14ac:dyDescent="0.25">
      <c r="A14" s="134" t="str">
        <f>'Dropdown Menus'!F4</f>
        <v>Local: Current News &amp; Events</v>
      </c>
      <c r="B14" s="327"/>
      <c r="C14" s="322" t="s">
        <v>82</v>
      </c>
      <c r="D14" s="162"/>
      <c r="E14" s="162">
        <v>1</v>
      </c>
      <c r="F14" s="162"/>
      <c r="G14" s="162">
        <v>1</v>
      </c>
      <c r="H14" s="162"/>
      <c r="I14" s="162"/>
      <c r="J14" s="162"/>
      <c r="K14" s="162"/>
    </row>
    <row r="15" spans="1:11" ht="12.75" thickBot="1" x14ac:dyDescent="0.25">
      <c r="A15" s="134" t="str">
        <f>'Dropdown Menus'!E5</f>
        <v>State: General</v>
      </c>
      <c r="B15" s="325" t="s">
        <v>83</v>
      </c>
      <c r="C15" s="318" t="s">
        <v>77</v>
      </c>
      <c r="D15" s="161"/>
      <c r="E15" s="161"/>
      <c r="F15" s="161"/>
      <c r="G15" s="161"/>
      <c r="H15" s="161"/>
      <c r="I15" s="161"/>
      <c r="J15" s="161"/>
      <c r="K15" s="161">
        <v>3</v>
      </c>
    </row>
    <row r="16" spans="1:11" ht="12.75" thickBot="1" x14ac:dyDescent="0.25">
      <c r="A16" s="134" t="str">
        <f>'Dropdown Menus'!E6</f>
        <v>State: Multiple Related Topics</v>
      </c>
      <c r="B16" s="326"/>
      <c r="C16" s="320" t="s">
        <v>78</v>
      </c>
      <c r="D16" s="161">
        <v>1</v>
      </c>
      <c r="E16" s="161">
        <v>1</v>
      </c>
      <c r="F16" s="161"/>
      <c r="G16" s="161"/>
      <c r="H16" s="161"/>
      <c r="I16" s="161"/>
      <c r="J16" s="161"/>
      <c r="K16" s="161"/>
    </row>
    <row r="17" spans="1:11" ht="12.75" thickBot="1" x14ac:dyDescent="0.25">
      <c r="A17" s="134" t="str">
        <f>'Dropdown Menus'!E7</f>
        <v>State: Single-Topic</v>
      </c>
      <c r="B17" s="326"/>
      <c r="C17" s="320" t="s">
        <v>79</v>
      </c>
      <c r="D17" s="163"/>
      <c r="E17" s="163"/>
      <c r="F17" s="163"/>
      <c r="G17" s="163"/>
      <c r="H17" s="163"/>
      <c r="I17" s="163"/>
      <c r="J17" s="163"/>
      <c r="K17" s="163">
        <v>1</v>
      </c>
    </row>
    <row r="18" spans="1:11" ht="12.75" thickBot="1" x14ac:dyDescent="0.25">
      <c r="A18" s="134" t="str">
        <f>'Dropdown Menus'!F5</f>
        <v>State: Explanatory &amp; Analysis</v>
      </c>
      <c r="B18" s="326"/>
      <c r="C18" s="320" t="s">
        <v>80</v>
      </c>
      <c r="D18" s="163"/>
      <c r="E18" s="163"/>
      <c r="F18" s="163"/>
      <c r="G18" s="163"/>
      <c r="H18" s="163"/>
      <c r="I18" s="163"/>
      <c r="J18" s="163"/>
      <c r="K18" s="163">
        <v>3</v>
      </c>
    </row>
    <row r="19" spans="1:11" ht="12.75" thickBot="1" x14ac:dyDescent="0.25">
      <c r="A19" s="134" t="str">
        <f>'Dropdown Menus'!F6</f>
        <v>State: Investigative</v>
      </c>
      <c r="B19" s="326"/>
      <c r="C19" s="320" t="s">
        <v>81</v>
      </c>
      <c r="D19" s="163"/>
      <c r="E19" s="163"/>
      <c r="F19" s="163"/>
      <c r="G19" s="163"/>
      <c r="H19" s="163"/>
      <c r="I19" s="163"/>
      <c r="J19" s="163"/>
      <c r="K19" s="163">
        <v>3</v>
      </c>
    </row>
    <row r="20" spans="1:11" ht="12.75" thickBot="1" x14ac:dyDescent="0.25">
      <c r="A20" s="134" t="str">
        <f>'Dropdown Menus'!F7</f>
        <v>State: Current News &amp; Events</v>
      </c>
      <c r="B20" s="327"/>
      <c r="C20" s="322" t="s">
        <v>82</v>
      </c>
      <c r="D20" s="163"/>
      <c r="E20" s="163"/>
      <c r="F20" s="163"/>
      <c r="G20" s="163"/>
      <c r="H20" s="163"/>
      <c r="I20" s="163"/>
      <c r="J20" s="163"/>
      <c r="K20" s="163">
        <v>3</v>
      </c>
    </row>
    <row r="21" spans="1:11" ht="12.75" hidden="1" outlineLevel="1" thickBot="1" x14ac:dyDescent="0.25">
      <c r="A21" s="134" t="str">
        <f>'Dropdown Menus'!E19</f>
        <v>Public Radio: Small</v>
      </c>
      <c r="B21" s="325" t="s">
        <v>84</v>
      </c>
      <c r="C21" s="318" t="s">
        <v>62</v>
      </c>
      <c r="D21" s="163"/>
      <c r="E21" s="163"/>
      <c r="F21" s="163"/>
      <c r="G21" s="163"/>
      <c r="H21" s="163"/>
      <c r="I21" s="163"/>
      <c r="J21" s="163"/>
      <c r="K21" s="163"/>
    </row>
    <row r="22" spans="1:11" ht="12.75" hidden="1" outlineLevel="1" thickBot="1" x14ac:dyDescent="0.25">
      <c r="A22" s="134" t="str">
        <f>'Dropdown Menus'!E20</f>
        <v>Public Radio: Medium</v>
      </c>
      <c r="B22" s="319"/>
      <c r="C22" s="320" t="s">
        <v>63</v>
      </c>
      <c r="D22" s="163"/>
      <c r="E22" s="163"/>
      <c r="F22" s="163"/>
      <c r="G22" s="163"/>
      <c r="H22" s="163"/>
      <c r="I22" s="163"/>
      <c r="J22" s="163"/>
      <c r="K22" s="163"/>
    </row>
    <row r="23" spans="1:11" ht="12.75" hidden="1" outlineLevel="1" thickBot="1" x14ac:dyDescent="0.25">
      <c r="A23" s="134" t="str">
        <f>'Dropdown Menus'!E21</f>
        <v>Public Radio: Large</v>
      </c>
      <c r="B23" s="321"/>
      <c r="C23" s="322" t="s">
        <v>64</v>
      </c>
      <c r="D23" s="163"/>
      <c r="E23" s="163"/>
      <c r="F23" s="163"/>
      <c r="G23" s="163"/>
      <c r="H23" s="163"/>
      <c r="I23" s="163"/>
      <c r="J23" s="163"/>
      <c r="K23" s="163"/>
    </row>
    <row r="24" spans="1:11" collapsed="1" x14ac:dyDescent="0.2"/>
    <row r="25" spans="1:11" x14ac:dyDescent="0.2">
      <c r="B25" s="140" t="s">
        <v>85</v>
      </c>
      <c r="C25" s="140"/>
      <c r="D25" s="140"/>
      <c r="E25" s="140"/>
      <c r="F25" s="140"/>
      <c r="G25" s="140"/>
      <c r="H25" s="140"/>
      <c r="I25" s="140"/>
    </row>
    <row r="26" spans="1:11" x14ac:dyDescent="0.2">
      <c r="B26" s="147" t="s">
        <v>74</v>
      </c>
      <c r="C26" s="147" t="s">
        <v>86</v>
      </c>
      <c r="D26" s="147" t="s">
        <v>61</v>
      </c>
      <c r="E26" s="147" t="s">
        <v>62</v>
      </c>
      <c r="F26" s="147" t="s">
        <v>63</v>
      </c>
      <c r="G26" s="147" t="s">
        <v>64</v>
      </c>
      <c r="H26" s="147" t="s">
        <v>65</v>
      </c>
      <c r="I26" s="147" t="s">
        <v>60</v>
      </c>
    </row>
    <row r="27" spans="1:11" x14ac:dyDescent="0.2">
      <c r="A27" s="134" t="str">
        <f>A8</f>
        <v>Hyper-local: General</v>
      </c>
      <c r="B27" s="137" t="s">
        <v>76</v>
      </c>
      <c r="C27" s="137" t="s">
        <v>77</v>
      </c>
      <c r="D27" s="149">
        <f>((HLOOKUP($D$7,'Coverage Units by State Size'!$B$15:$K$20,2,FALSE))*$D8)+((HLOOKUP($E$7,'Coverage Units by State Size'!$B$15:$K$20,2,FALSE))*$E8)+((HLOOKUP($F$7,'Coverage Units by State Size'!$B$15:$K$20,2,FALSE))*$F8)+((HLOOKUP($G$7,'Coverage Units by State Size'!$B$15:$K$20,2,FALSE))*$G8)+((HLOOKUP($H$7,'Coverage Units by State Size'!$B$15:$K$20,2,FALSE))*$H8)+((HLOOKUP($I$7,'Coverage Units by State Size'!$B$15:$K$20,2,FALSE))*$I8)+((HLOOKUP($J$7,'Coverage Units by State Size'!$B$15:$K$20,2,FALSE))*$J8)+((HLOOKUP($K$7,'Coverage Units by State Size'!$B$15:$K$20,2,FALSE))*$K8)</f>
        <v>6</v>
      </c>
      <c r="E27" s="149">
        <f>((HLOOKUP($D$7,'Coverage Units by State Size'!$B$15:$K$20,3,FALSE))*$D8)+((HLOOKUP($E$7,'Coverage Units by State Size'!$B$15:$K$20,3,FALSE))*$E8)+((HLOOKUP($F$7,'Coverage Units by State Size'!$B$15:$K$20,3,FALSE))*$F8)+((HLOOKUP($G$7,'Coverage Units by State Size'!$B$15:$K$20,3,FALSE))*$G8)+((HLOOKUP($H$7,'Coverage Units by State Size'!$B$15:$K$20,3,FALSE))*$H8)+((HLOOKUP($I$7,'Coverage Units by State Size'!$B$15:$K$20,3,FALSE))*$I8)+((HLOOKUP($J$7,'Coverage Units by State Size'!$B$15:$K$20,3,FALSE))*$J8)+((HLOOKUP($K$7,'Coverage Units by State Size'!$B$15:$K$20,3,FALSE))*$K8)</f>
        <v>78</v>
      </c>
      <c r="F27" s="149">
        <f>((HLOOKUP($D$7,'Coverage Units by State Size'!$B$15:$K$20,4,FALSE))*$D8*'Coverage Units by State Size'!$D$10)+((HLOOKUP($E$7,'Coverage Units by State Size'!$B$15:$K$20,4,FALSE))*$E8*'Coverage Units by State Size'!$D$10)+((HLOOKUP($F$7,'Coverage Units by State Size'!$B$15:$K$20,4,FALSE))*$F8*'Coverage Units by State Size'!$D$10)+((HLOOKUP($G$7,'Coverage Units by State Size'!$B$15:$K$20,4,FALSE))*$G8*'Coverage Units by State Size'!$D$10)+((HLOOKUP($H$7,'Coverage Units by State Size'!$B$15:$K$20,4,FALSE))*$H8*'Coverage Units by State Size'!$D$10)+((HLOOKUP($I$7,'Coverage Units by State Size'!$B$15:$K$20,4,FALSE))*$I8*'Coverage Units by State Size'!$D$10)+((HLOOKUP($J$7,'Coverage Units by State Size'!$B$15:$K$20,4,FALSE))*$J8*'Coverage Units by State Size'!$D$10)+((HLOOKUP($K$7,'Coverage Units by State Size'!$B$15:$K$20,4,FALSE))*$K8*'Coverage Units by State Size'!$D$10)</f>
        <v>258</v>
      </c>
      <c r="G27" s="149">
        <f>((HLOOKUP($D$7,'Coverage Units by State Size'!$B$15:$K$20,5,FALSE))*$D8*'Coverage Units by State Size'!$D$11)+((HLOOKUP($E$7,'Coverage Units by State Size'!$B$15:$K$20,5,FALSE))*$E8*'Coverage Units by State Size'!$D$11)+((HLOOKUP($F$7,'Coverage Units by State Size'!$B$15:$K$20,5,FALSE))*$F8*'Coverage Units by State Size'!$D$11)+((HLOOKUP($G$7,'Coverage Units by State Size'!$B$15:$K$20,5,FALSE))*$G8*'Coverage Units by State Size'!$D$11)+((HLOOKUP($H$7,'Coverage Units by State Size'!$B$15:$K$20,5,FALSE))*$H8*'Coverage Units by State Size'!$D$11)+((HLOOKUP($I$7,'Coverage Units by State Size'!$B$15:$K$20,5,FALSE))*$I8*'Coverage Units by State Size'!$D$11)+((HLOOKUP($J$7,'Coverage Units by State Size'!$B$15:$K$20,5,FALSE))*$J8*'Coverage Units by State Size'!$D$11)+((HLOOKUP($K$7,'Coverage Units by State Size'!$B$15:$K$20,5,FALSE))*$K8*'Coverage Units by State Size'!$D$11)</f>
        <v>237</v>
      </c>
      <c r="H27" s="149">
        <f>((HLOOKUP($D$7,'Coverage Units by State Size'!$B$15:$K$20,6,FALSE))*$D8*'Coverage Units by State Size'!$D$12)+((HLOOKUP($E$7,'Coverage Units by State Size'!$B$15:$K$20,6,FALSE))*$E8*'Coverage Units by State Size'!$D$12)+((HLOOKUP($F$7,'Coverage Units by State Size'!$B$15:$K$20,6,FALSE))*$F8*'Coverage Units by State Size'!$D$12)+((HLOOKUP($G$7,'Coverage Units by State Size'!$B$15:$K$20,6,FALSE))*$G8*'Coverage Units by State Size'!$D$12)+((HLOOKUP($H$7,'Coverage Units by State Size'!$B$15:$K$20,6,FALSE))*$H8*'Coverage Units by State Size'!$D$12)+((HLOOKUP($I$7,'Coverage Units by State Size'!$B$15:$K$20,6,FALSE))*$I8*'Coverage Units by State Size'!$D$12)+((HLOOKUP($J$7,'Coverage Units by State Size'!$B$15:$K$20,6,FALSE))*$J8*'Coverage Units by State Size'!$D$12)+((HLOOKUP($K$7,'Coverage Units by State Size'!$B$15:$K$20,6,FALSE))*$K8*'Coverage Units by State Size'!$D$12)</f>
        <v>572</v>
      </c>
      <c r="I27" s="254">
        <f>SUM(D27:H27)</f>
        <v>1151</v>
      </c>
    </row>
    <row r="28" spans="1:11" x14ac:dyDescent="0.2">
      <c r="A28" s="134" t="str">
        <f t="shared" ref="A28:A42" si="0">A9</f>
        <v>Local: General</v>
      </c>
      <c r="B28" s="134" t="s">
        <v>7</v>
      </c>
      <c r="C28" s="134" t="s">
        <v>77</v>
      </c>
      <c r="D28" s="148">
        <f>((HLOOKUP($D$7,'Coverage Units by State Size'!$B$15:$K$20,2,FALSE))*$D9)+((HLOOKUP($E$7,'Coverage Units by State Size'!$B$15:$K$20,2,FALSE))*$E9)+((HLOOKUP($F$7,'Coverage Units by State Size'!$B$15:$K$20,2,FALSE))*$F9)+((HLOOKUP($G$7,'Coverage Units by State Size'!$B$15:$K$20,2,FALSE))*$G9)+((HLOOKUP($H$7,'Coverage Units by State Size'!$B$15:$K$20,2,FALSE))*$H9)+((HLOOKUP($I$7,'Coverage Units by State Size'!$B$15:$K$20,2,FALSE))*$I9)+((HLOOKUP($J$7,'Coverage Units by State Size'!$B$15:$K$20,2,FALSE))*$J9)+((HLOOKUP($K$7,'Coverage Units by State Size'!$B$15:$K$20,2,FALSE))*$K9)</f>
        <v>174</v>
      </c>
      <c r="E28" s="148">
        <f>((HLOOKUP($D$7,'Coverage Units by State Size'!$B$15:$K$20,3,FALSE))*$D9)+((HLOOKUP($E$7,'Coverage Units by State Size'!$B$15:$K$20,3,FALSE))*$E9)+((HLOOKUP($F$7,'Coverage Units by State Size'!$B$15:$K$20,3,FALSE))*$F9)+((HLOOKUP($G$7,'Coverage Units by State Size'!$B$15:$K$20,3,FALSE))*$G9)+((HLOOKUP($H$7,'Coverage Units by State Size'!$B$15:$K$20,3,FALSE))*$H9)+((HLOOKUP($I$7,'Coverage Units by State Size'!$B$15:$K$20,3,FALSE))*$I9)+((HLOOKUP($J$7,'Coverage Units by State Size'!$B$15:$K$20,3,FALSE))*$J9)+((HLOOKUP($K$7,'Coverage Units by State Size'!$B$15:$K$20,3,FALSE))*$K9)</f>
        <v>1070</v>
      </c>
      <c r="F28" s="323">
        <f>((HLOOKUP($D$7,'Coverage Units by State Size'!$B$15:$K$20,4,FALSE))*$D9)+((HLOOKUP($E$7,'Coverage Units by State Size'!$B$15:$K$20,4,FALSE))*$E9)+((HLOOKUP($F$7,'Coverage Units by State Size'!$B$15:$K$20,4,FALSE))*$F9)+((HLOOKUP($G$7,'Coverage Units by State Size'!$B$15:$K$20,4,FALSE))*$G9)+((HLOOKUP($H$7,'Coverage Units by State Size'!$B$15:$K$20,4,FALSE))*$H9)+((HLOOKUP($I$7,'Coverage Units by State Size'!$B$15:$K$20,4,FALSE))*$I9)+((HLOOKUP($J$7,'Coverage Units by State Size'!$B$15:$K$20,4,FALSE))*$J9)+((HLOOKUP($K$7,'Coverage Units by State Size'!$B$15:$K$20,4,FALSE))*$K9)</f>
        <v>845</v>
      </c>
      <c r="G28" s="328">
        <f>((HLOOKUP($D$7,'Coverage Units by State Size'!$B$15:$K$20,5,FALSE))*$D9)+((HLOOKUP($E$7,'Coverage Units by State Size'!$B$15:$K$20,5,FALSE))*$E9)+((HLOOKUP($F$7,'Coverage Units by State Size'!$B$15:$K$20,5,FALSE))*$F9)+((HLOOKUP($G$7,'Coverage Units by State Size'!$B$15:$K$20,5,FALSE))*$G9)+((HLOOKUP($H$7,'Coverage Units by State Size'!$B$15:$K$20,5,FALSE))*$H9)+((HLOOKUP($I$7,'Coverage Units by State Size'!$B$15:$K$20,5,FALSE))*$I9)+((HLOOKUP($J$7,'Coverage Units by State Size'!$B$15:$K$20,5,FALSE))*$J9)+((HLOOKUP($K$7,'Coverage Units by State Size'!$B$15:$K$20,5,FALSE))*$K9)</f>
        <v>508</v>
      </c>
      <c r="H28" s="323">
        <f>((HLOOKUP($D$7,'Coverage Units by State Size'!$B$15:$K$20,6,FALSE))*$D9)+((HLOOKUP($E$7,'Coverage Units by State Size'!$B$15:$K$20,6,FALSE))*$E9)+((HLOOKUP($F$7,'Coverage Units by State Size'!$B$15:$K$20,6,FALSE))*$F9)+((HLOOKUP($G$7,'Coverage Units by State Size'!$B$15:$K$20,6,FALSE))*$G9)+((HLOOKUP($H$7,'Coverage Units by State Size'!$B$15:$K$20,6,FALSE))*$H9)+((HLOOKUP($I$7,'Coverage Units by State Size'!$B$15:$K$20,6,FALSE))*$I9)+((HLOOKUP($J$7,'Coverage Units by State Size'!$B$15:$K$20,6,FALSE))*$J9)+((HLOOKUP($K$7,'Coverage Units by State Size'!$B$15:$K$20,6,FALSE))*$K9)</f>
        <v>434</v>
      </c>
      <c r="I28" s="155">
        <f>SUM(D28:H28)</f>
        <v>3031</v>
      </c>
    </row>
    <row r="29" spans="1:11" x14ac:dyDescent="0.2">
      <c r="A29" s="134" t="str">
        <f t="shared" si="0"/>
        <v>Local: Multiple Related Topics</v>
      </c>
      <c r="C29" s="134" t="s">
        <v>78</v>
      </c>
      <c r="D29" s="148">
        <f>((HLOOKUP($D$7,'Coverage Units by State Size'!$B$15:$K$20,2,FALSE))*$D10)+((HLOOKUP($E$7,'Coverage Units by State Size'!$B$15:$K$20,2,FALSE))*$E10)+((HLOOKUP($F$7,'Coverage Units by State Size'!$B$15:$K$20,2,FALSE))*$F10)+((HLOOKUP($G$7,'Coverage Units by State Size'!$B$15:$K$20,2,FALSE))*$G10)+((HLOOKUP($H$7,'Coverage Units by State Size'!$B$15:$K$20,2,FALSE))*$H10)+((HLOOKUP($I$7,'Coverage Units by State Size'!$B$15:$K$20,2,FALSE))*$I10)+((HLOOKUP($J$7,'Coverage Units by State Size'!$B$15:$K$20,2,FALSE))*$J10)+((HLOOKUP($K$7,'Coverage Units by State Size'!$B$15:$K$20,2,FALSE))*$K10)</f>
        <v>1022</v>
      </c>
      <c r="E29" s="148">
        <f>((HLOOKUP($D$7,'Coverage Units by State Size'!$B$15:$K$20,3,FALSE))*$D10)+((HLOOKUP($E$7,'Coverage Units by State Size'!$B$15:$K$20,3,FALSE))*$E10)+((HLOOKUP($F$7,'Coverage Units by State Size'!$B$15:$K$20,3,FALSE))*$F10)+((HLOOKUP($G$7,'Coverage Units by State Size'!$B$15:$K$20,3,FALSE))*$G10)+((HLOOKUP($H$7,'Coverage Units by State Size'!$B$15:$K$20,3,FALSE))*$H10)+((HLOOKUP($I$7,'Coverage Units by State Size'!$B$15:$K$20,3,FALSE))*$I10)+((HLOOKUP($J$7,'Coverage Units by State Size'!$B$15:$K$20,3,FALSE))*$J10)+((HLOOKUP($K$7,'Coverage Units by State Size'!$B$15:$K$20,3,FALSE))*$K10)</f>
        <v>5996</v>
      </c>
      <c r="F29" s="323">
        <f>((HLOOKUP($D$7,'Coverage Units by State Size'!$B$15:$K$20,4,FALSE))*$D10)+((HLOOKUP($E$7,'Coverage Units by State Size'!$B$15:$K$20,4,FALSE))*$E10)+((HLOOKUP($F$7,'Coverage Units by State Size'!$B$15:$K$20,4,FALSE))*$F10)+((HLOOKUP($G$7,'Coverage Units by State Size'!$B$15:$K$20,4,FALSE))*$G10)+((HLOOKUP($H$7,'Coverage Units by State Size'!$B$15:$K$20,4,FALSE))*$H10)+((HLOOKUP($I$7,'Coverage Units by State Size'!$B$15:$K$20,4,FALSE))*$I10)+((HLOOKUP($J$7,'Coverage Units by State Size'!$B$15:$K$20,4,FALSE))*$J10)+((HLOOKUP($K$7,'Coverage Units by State Size'!$B$15:$K$20,4,FALSE))*$K10)</f>
        <v>5647</v>
      </c>
      <c r="G29" s="323">
        <f>((HLOOKUP($D$7,'Coverage Units by State Size'!$B$15:$K$20,5,FALSE))*$D10)+((HLOOKUP($E$7,'Coverage Units by State Size'!$B$15:$K$20,5,FALSE))*$E10)+((HLOOKUP($F$7,'Coverage Units by State Size'!$B$15:$K$20,5,FALSE))*$F10)+((HLOOKUP($G$7,'Coverage Units by State Size'!$B$15:$K$20,5,FALSE))*$G10)+((HLOOKUP($H$7,'Coverage Units by State Size'!$B$15:$K$20,5,FALSE))*$H10)+((HLOOKUP($I$7,'Coverage Units by State Size'!$B$15:$K$20,5,FALSE))*$I10)+((HLOOKUP($J$7,'Coverage Units by State Size'!$B$15:$K$20,5,FALSE))*$J10)+((HLOOKUP($K$7,'Coverage Units by State Size'!$B$15:$K$20,5,FALSE))*$K10)</f>
        <v>4409</v>
      </c>
      <c r="H29" s="323">
        <f>((HLOOKUP($D$7,'Coverage Units by State Size'!$B$15:$K$20,6,FALSE))*$D10)+((HLOOKUP($E$7,'Coverage Units by State Size'!$B$15:$K$20,6,FALSE))*$E10)+((HLOOKUP($F$7,'Coverage Units by State Size'!$B$15:$K$20,6,FALSE))*$F10)+((HLOOKUP($G$7,'Coverage Units by State Size'!$B$15:$K$20,6,FALSE))*$G10)+((HLOOKUP($H$7,'Coverage Units by State Size'!$B$15:$K$20,6,FALSE))*$H10)+((HLOOKUP($I$7,'Coverage Units by State Size'!$B$15:$K$20,6,FALSE))*$I10)+((HLOOKUP($J$7,'Coverage Units by State Size'!$B$15:$K$20,6,FALSE))*$J10)+((HLOOKUP($K$7,'Coverage Units by State Size'!$B$15:$K$20,6,FALSE))*$K10)</f>
        <v>2856</v>
      </c>
      <c r="I29" s="155">
        <f t="shared" ref="I29:I42" si="1">SUM(D29:H29)</f>
        <v>19930</v>
      </c>
    </row>
    <row r="30" spans="1:11" x14ac:dyDescent="0.2">
      <c r="A30" s="134" t="str">
        <f t="shared" si="0"/>
        <v>Local: Single-Topic</v>
      </c>
      <c r="C30" s="134" t="s">
        <v>79</v>
      </c>
      <c r="D30" s="148">
        <f>((HLOOKUP($D$7,'Coverage Units by State Size'!$B$15:$K$20,2,FALSE))*$D11)+((HLOOKUP($E$7,'Coverage Units by State Size'!$B$15:$K$20,2,FALSE))*$E11)+((HLOOKUP($F$7,'Coverage Units by State Size'!$B$15:$K$20,2,FALSE))*$F11)+((HLOOKUP($G$7,'Coverage Units by State Size'!$B$15:$K$20,2,FALSE))*$G11)+((HLOOKUP($H$7,'Coverage Units by State Size'!$B$15:$K$20,2,FALSE))*$H11)+((HLOOKUP($I$7,'Coverage Units by State Size'!$B$15:$K$20,2,FALSE))*$I11)+((HLOOKUP($J$7,'Coverage Units by State Size'!$B$15:$K$20,2,FALSE))*$J11)+((HLOOKUP($K$7,'Coverage Units by State Size'!$B$15:$K$20,2,FALSE))*$K11)</f>
        <v>737</v>
      </c>
      <c r="E30" s="148">
        <f>((HLOOKUP($D$7,'Coverage Units by State Size'!$B$15:$K$20,3,FALSE))*$D11)+((HLOOKUP($E$7,'Coverage Units by State Size'!$B$15:$K$20,3,FALSE))*$E11)+((HLOOKUP($F$7,'Coverage Units by State Size'!$B$15:$K$20,3,FALSE))*$F11)+((HLOOKUP($G$7,'Coverage Units by State Size'!$B$15:$K$20,3,FALSE))*$G11)+((HLOOKUP($H$7,'Coverage Units by State Size'!$B$15:$K$20,3,FALSE))*$H11)+((HLOOKUP($I$7,'Coverage Units by State Size'!$B$15:$K$20,3,FALSE))*$I11)+((HLOOKUP($J$7,'Coverage Units by State Size'!$B$15:$K$20,3,FALSE))*$J11)+((HLOOKUP($K$7,'Coverage Units by State Size'!$B$15:$K$20,3,FALSE))*$K11)</f>
        <v>3749</v>
      </c>
      <c r="F30" s="323">
        <f>((HLOOKUP($D$7,'Coverage Units by State Size'!$B$15:$K$20,4,FALSE))*$D11)+((HLOOKUP($E$7,'Coverage Units by State Size'!$B$15:$K$20,4,FALSE))*$E11)+((HLOOKUP($F$7,'Coverage Units by State Size'!$B$15:$K$20,4,FALSE))*$F11)+((HLOOKUP($G$7,'Coverage Units by State Size'!$B$15:$K$20,4,FALSE))*$G11)+((HLOOKUP($H$7,'Coverage Units by State Size'!$B$15:$K$20,4,FALSE))*$H11)+((HLOOKUP($I$7,'Coverage Units by State Size'!$B$15:$K$20,4,FALSE))*$I11)+((HLOOKUP($J$7,'Coverage Units by State Size'!$B$15:$K$20,4,FALSE))*$J11)+((HLOOKUP($K$7,'Coverage Units by State Size'!$B$15:$K$20,4,FALSE))*$K11)</f>
        <v>4203</v>
      </c>
      <c r="G30" s="323">
        <f>((HLOOKUP($D$7,'Coverage Units by State Size'!$B$15:$K$20,5,FALSE))*$D11)+((HLOOKUP($E$7,'Coverage Units by State Size'!$B$15:$K$20,5,FALSE))*$E11)+((HLOOKUP($F$7,'Coverage Units by State Size'!$B$15:$K$20,5,FALSE))*$F11)+((HLOOKUP($G$7,'Coverage Units by State Size'!$B$15:$K$20,5,FALSE))*$G11)+((HLOOKUP($H$7,'Coverage Units by State Size'!$B$15:$K$20,5,FALSE))*$H11)+((HLOOKUP($I$7,'Coverage Units by State Size'!$B$15:$K$20,5,FALSE))*$I11)+((HLOOKUP($J$7,'Coverage Units by State Size'!$B$15:$K$20,5,FALSE))*$J11)+((HLOOKUP($K$7,'Coverage Units by State Size'!$B$15:$K$20,5,FALSE))*$K11)</f>
        <v>2420</v>
      </c>
      <c r="H30" s="323">
        <f>((HLOOKUP($D$7,'Coverage Units by State Size'!$B$15:$K$20,6,FALSE))*$D11)+((HLOOKUP($E$7,'Coverage Units by State Size'!$B$15:$K$20,6,FALSE))*$E11)+((HLOOKUP($F$7,'Coverage Units by State Size'!$B$15:$K$20,6,FALSE))*$F11)+((HLOOKUP($G$7,'Coverage Units by State Size'!$B$15:$K$20,6,FALSE))*$G11)+((HLOOKUP($H$7,'Coverage Units by State Size'!$B$15:$K$20,6,FALSE))*$H11)+((HLOOKUP($I$7,'Coverage Units by State Size'!$B$15:$K$20,6,FALSE))*$I11)+((HLOOKUP($J$7,'Coverage Units by State Size'!$B$15:$K$20,6,FALSE))*$J11)+((HLOOKUP($K$7,'Coverage Units by State Size'!$B$15:$K$20,6,FALSE))*$K11)</f>
        <v>2952</v>
      </c>
      <c r="I30" s="155">
        <f t="shared" si="1"/>
        <v>14061</v>
      </c>
    </row>
    <row r="31" spans="1:11" x14ac:dyDescent="0.2">
      <c r="A31" s="134" t="str">
        <f t="shared" si="0"/>
        <v>Local: Explanatory &amp; Analysis</v>
      </c>
      <c r="C31" s="134" t="s">
        <v>80</v>
      </c>
      <c r="D31" s="148">
        <f>((HLOOKUP($D$7,'Coverage Units by State Size'!$B$15:$K$20,2,FALSE))*$D12)+((HLOOKUP($E$7,'Coverage Units by State Size'!$B$15:$K$20,2,FALSE))*$E12)+((HLOOKUP($F$7,'Coverage Units by State Size'!$B$15:$K$20,2,FALSE))*$F12)+((HLOOKUP($G$7,'Coverage Units by State Size'!$B$15:$K$20,2,FALSE))*$G12)+((HLOOKUP($H$7,'Coverage Units by State Size'!$B$15:$K$20,2,FALSE))*$H12)+((HLOOKUP($I$7,'Coverage Units by State Size'!$B$15:$K$20,2,FALSE))*$I12)+((HLOOKUP($J$7,'Coverage Units by State Size'!$B$15:$K$20,2,FALSE))*$J12)+((HLOOKUP($K$7,'Coverage Units by State Size'!$B$15:$K$20,2,FALSE))*$K12)</f>
        <v>12</v>
      </c>
      <c r="E31" s="148">
        <f>((HLOOKUP($D$7,'Coverage Units by State Size'!$B$15:$K$20,3,FALSE))*$D12)+((HLOOKUP($E$7,'Coverage Units by State Size'!$B$15:$K$20,3,FALSE))*$E12)+((HLOOKUP($F$7,'Coverage Units by State Size'!$B$15:$K$20,3,FALSE))*$F12)+((HLOOKUP($G$7,'Coverage Units by State Size'!$B$15:$K$20,3,FALSE))*$G12)+((HLOOKUP($H$7,'Coverage Units by State Size'!$B$15:$K$20,3,FALSE))*$H12)+((HLOOKUP($I$7,'Coverage Units by State Size'!$B$15:$K$20,3,FALSE))*$I12)+((HLOOKUP($J$7,'Coverage Units by State Size'!$B$15:$K$20,3,FALSE))*$J12)+((HLOOKUP($K$7,'Coverage Units by State Size'!$B$15:$K$20,3,FALSE))*$K12)</f>
        <v>99</v>
      </c>
      <c r="F31" s="323">
        <f>((HLOOKUP($D$7,'Coverage Units by State Size'!$B$15:$K$20,4,FALSE))*$D12)+((HLOOKUP($E$7,'Coverage Units by State Size'!$B$15:$K$20,4,FALSE))*$E12)+((HLOOKUP($F$7,'Coverage Units by State Size'!$B$15:$K$20,4,FALSE))*$F12)+((HLOOKUP($G$7,'Coverage Units by State Size'!$B$15:$K$20,4,FALSE))*$G12)+((HLOOKUP($H$7,'Coverage Units by State Size'!$B$15:$K$20,4,FALSE))*$H12)+((HLOOKUP($I$7,'Coverage Units by State Size'!$B$15:$K$20,4,FALSE))*$I12)+((HLOOKUP($J$7,'Coverage Units by State Size'!$B$15:$K$20,4,FALSE))*$J12)+((HLOOKUP($K$7,'Coverage Units by State Size'!$B$15:$K$20,4,FALSE))*$K12)</f>
        <v>143</v>
      </c>
      <c r="G31" s="323">
        <f>((HLOOKUP($D$7,'Coverage Units by State Size'!$B$15:$K$20,5,FALSE))*$D12)+((HLOOKUP($E$7,'Coverage Units by State Size'!$B$15:$K$20,5,FALSE))*$E12)+((HLOOKUP($F$7,'Coverage Units by State Size'!$B$15:$K$20,5,FALSE))*$F12)+((HLOOKUP($G$7,'Coverage Units by State Size'!$B$15:$K$20,5,FALSE))*$G12)+((HLOOKUP($H$7,'Coverage Units by State Size'!$B$15:$K$20,5,FALSE))*$H12)+((HLOOKUP($I$7,'Coverage Units by State Size'!$B$15:$K$20,5,FALSE))*$I12)+((HLOOKUP($J$7,'Coverage Units by State Size'!$B$15:$K$20,5,FALSE))*$J12)+((HLOOKUP($K$7,'Coverage Units by State Size'!$B$15:$K$20,5,FALSE))*$K12)</f>
        <v>84</v>
      </c>
      <c r="H31" s="323">
        <f>((HLOOKUP($D$7,'Coverage Units by State Size'!$B$15:$K$20,6,FALSE))*$D12)+((HLOOKUP($E$7,'Coverage Units by State Size'!$B$15:$K$20,6,FALSE))*$E12)+((HLOOKUP($F$7,'Coverage Units by State Size'!$B$15:$K$20,6,FALSE))*$F12)+((HLOOKUP($G$7,'Coverage Units by State Size'!$B$15:$K$20,6,FALSE))*$G12)+((HLOOKUP($H$7,'Coverage Units by State Size'!$B$15:$K$20,6,FALSE))*$H12)+((HLOOKUP($I$7,'Coverage Units by State Size'!$B$15:$K$20,6,FALSE))*$I12)+((HLOOKUP($J$7,'Coverage Units by State Size'!$B$15:$K$20,6,FALSE))*$J12)+((HLOOKUP($K$7,'Coverage Units by State Size'!$B$15:$K$20,6,FALSE))*$K12)</f>
        <v>147</v>
      </c>
      <c r="I31" s="155">
        <f t="shared" si="1"/>
        <v>485</v>
      </c>
    </row>
    <row r="32" spans="1:11" x14ac:dyDescent="0.2">
      <c r="A32" s="134" t="str">
        <f t="shared" si="0"/>
        <v>Local: Investigative</v>
      </c>
      <c r="C32" s="134" t="s">
        <v>81</v>
      </c>
      <c r="D32" s="148">
        <f>((HLOOKUP($D$7,'Coverage Units by State Size'!$B$15:$K$20,2,FALSE))*$D13)+((HLOOKUP($E$7,'Coverage Units by State Size'!$B$15:$K$20,2,FALSE))*$E13)+((HLOOKUP($F$7,'Coverage Units by State Size'!$B$15:$K$20,2,FALSE))*$F13)+((HLOOKUP($G$7,'Coverage Units by State Size'!$B$15:$K$20,2,FALSE))*$G13)+((HLOOKUP($H$7,'Coverage Units by State Size'!$B$15:$K$20,2,FALSE))*$H13)+((HLOOKUP($I$7,'Coverage Units by State Size'!$B$15:$K$20,2,FALSE))*$I13)+((HLOOKUP($J$7,'Coverage Units by State Size'!$B$15:$K$20,2,FALSE))*$J13)+((HLOOKUP($K$7,'Coverage Units by State Size'!$B$15:$K$20,2,FALSE))*$K13)</f>
        <v>6</v>
      </c>
      <c r="E32" s="148">
        <f>((HLOOKUP($D$7,'Coverage Units by State Size'!$B$15:$K$20,3,FALSE))*$D13)+((HLOOKUP($E$7,'Coverage Units by State Size'!$B$15:$K$20,3,FALSE))*$E13)+((HLOOKUP($F$7,'Coverage Units by State Size'!$B$15:$K$20,3,FALSE))*$F13)+((HLOOKUP($G$7,'Coverage Units by State Size'!$B$15:$K$20,3,FALSE))*$G13)+((HLOOKUP($H$7,'Coverage Units by State Size'!$B$15:$K$20,3,FALSE))*$H13)+((HLOOKUP($I$7,'Coverage Units by State Size'!$B$15:$K$20,3,FALSE))*$I13)+((HLOOKUP($J$7,'Coverage Units by State Size'!$B$15:$K$20,3,FALSE))*$J13)+((HLOOKUP($K$7,'Coverage Units by State Size'!$B$15:$K$20,3,FALSE))*$K13)</f>
        <v>21</v>
      </c>
      <c r="F32" s="323">
        <f>((HLOOKUP($D$7,'Coverage Units by State Size'!$B$15:$K$20,4,FALSE))*$D13)+((HLOOKUP($E$7,'Coverage Units by State Size'!$B$15:$K$20,4,FALSE))*$E13)+((HLOOKUP($F$7,'Coverage Units by State Size'!$B$15:$K$20,4,FALSE))*$F13)+((HLOOKUP($G$7,'Coverage Units by State Size'!$B$15:$K$20,4,FALSE))*$G13)+((HLOOKUP($H$7,'Coverage Units by State Size'!$B$15:$K$20,4,FALSE))*$H13)+((HLOOKUP($I$7,'Coverage Units by State Size'!$B$15:$K$20,4,FALSE))*$I13)+((HLOOKUP($J$7,'Coverage Units by State Size'!$B$15:$K$20,4,FALSE))*$J13)+((HLOOKUP($K$7,'Coverage Units by State Size'!$B$15:$K$20,4,FALSE))*$K13)</f>
        <v>14</v>
      </c>
      <c r="G32" s="323">
        <f>((HLOOKUP($D$7,'Coverage Units by State Size'!$B$15:$K$20,5,FALSE))*$D13)+((HLOOKUP($E$7,'Coverage Units by State Size'!$B$15:$K$20,5,FALSE))*$E13)+((HLOOKUP($F$7,'Coverage Units by State Size'!$B$15:$K$20,5,FALSE))*$F13)+((HLOOKUP($G$7,'Coverage Units by State Size'!$B$15:$K$20,5,FALSE))*$G13)+((HLOOKUP($H$7,'Coverage Units by State Size'!$B$15:$K$20,5,FALSE))*$H13)+((HLOOKUP($I$7,'Coverage Units by State Size'!$B$15:$K$20,5,FALSE))*$I13)+((HLOOKUP($J$7,'Coverage Units by State Size'!$B$15:$K$20,5,FALSE))*$J13)+((HLOOKUP($K$7,'Coverage Units by State Size'!$B$15:$K$20,5,FALSE))*$K13)</f>
        <v>5</v>
      </c>
      <c r="H32" s="323">
        <f>((HLOOKUP($D$7,'Coverage Units by State Size'!$B$15:$K$20,6,FALSE))*$D13)+((HLOOKUP($E$7,'Coverage Units by State Size'!$B$15:$K$20,6,FALSE))*$E13)+((HLOOKUP($F$7,'Coverage Units by State Size'!$B$15:$K$20,6,FALSE))*$F13)+((HLOOKUP($G$7,'Coverage Units by State Size'!$B$15:$K$20,6,FALSE))*$G13)+((HLOOKUP($H$7,'Coverage Units by State Size'!$B$15:$K$20,6,FALSE))*$H13)+((HLOOKUP($I$7,'Coverage Units by State Size'!$B$15:$K$20,6,FALSE))*$I13)+((HLOOKUP($J$7,'Coverage Units by State Size'!$B$15:$K$20,6,FALSE))*$J13)+((HLOOKUP($K$7,'Coverage Units by State Size'!$B$15:$K$20,6,FALSE))*$K13)</f>
        <v>4</v>
      </c>
      <c r="I32" s="155">
        <f t="shared" si="1"/>
        <v>50</v>
      </c>
    </row>
    <row r="33" spans="1:11" x14ac:dyDescent="0.2">
      <c r="A33" s="134" t="str">
        <f t="shared" si="0"/>
        <v>Local: Current News &amp; Events</v>
      </c>
      <c r="B33" s="137"/>
      <c r="C33" s="137" t="s">
        <v>82</v>
      </c>
      <c r="D33" s="149">
        <f>((HLOOKUP($D$7,'Coverage Units by State Size'!$B$15:$K$20,2,FALSE))*$D14)+((HLOOKUP($E$7,'Coverage Units by State Size'!$B$15:$K$20,2,FALSE))*$E14)+((HLOOKUP($F$7,'Coverage Units by State Size'!$B$15:$K$20,2,FALSE))*$F14)+((HLOOKUP($G$7,'Coverage Units by State Size'!$B$15:$K$20,2,FALSE))*$G14)+((HLOOKUP($H$7,'Coverage Units by State Size'!$B$15:$K$20,2,FALSE))*$H14)+((HLOOKUP($I$7,'Coverage Units by State Size'!$B$15:$K$20,2,FALSE))*$I14)+((HLOOKUP($J$7,'Coverage Units by State Size'!$B$15:$K$20,2,FALSE))*$J14)+((HLOOKUP($K$7,'Coverage Units by State Size'!$B$15:$K$20,2,FALSE))*$K14)</f>
        <v>1022</v>
      </c>
      <c r="E33" s="149">
        <f>((HLOOKUP($D$7,'Coverage Units by State Size'!$B$15:$K$20,3,FALSE))*$D14)+((HLOOKUP($E$7,'Coverage Units by State Size'!$B$15:$K$20,3,FALSE))*$E14)+((HLOOKUP($F$7,'Coverage Units by State Size'!$B$15:$K$20,3,FALSE))*$F14)+((HLOOKUP($G$7,'Coverage Units by State Size'!$B$15:$K$20,3,FALSE))*$G14)+((HLOOKUP($H$7,'Coverage Units by State Size'!$B$15:$K$20,3,FALSE))*$H14)+((HLOOKUP($I$7,'Coverage Units by State Size'!$B$15:$K$20,3,FALSE))*$I14)+((HLOOKUP($J$7,'Coverage Units by State Size'!$B$15:$K$20,3,FALSE))*$J14)+((HLOOKUP($K$7,'Coverage Units by State Size'!$B$15:$K$20,3,FALSE))*$K14)</f>
        <v>5996</v>
      </c>
      <c r="F33" s="149">
        <f>((HLOOKUP($D$7,'Coverage Units by State Size'!$B$15:$K$20,4,FALSE))*$D14)+((HLOOKUP($E$7,'Coverage Units by State Size'!$B$15:$K$20,4,FALSE))*$E14)+((HLOOKUP($F$7,'Coverage Units by State Size'!$B$15:$K$20,4,FALSE))*$F14)+((HLOOKUP($G$7,'Coverage Units by State Size'!$B$15:$K$20,4,FALSE))*$G14)+((HLOOKUP($H$7,'Coverage Units by State Size'!$B$15:$K$20,4,FALSE))*$H14)+((HLOOKUP($I$7,'Coverage Units by State Size'!$B$15:$K$20,4,FALSE))*$I14)+((HLOOKUP($J$7,'Coverage Units by State Size'!$B$15:$K$20,4,FALSE))*$J14)+((HLOOKUP($K$7,'Coverage Units by State Size'!$B$15:$K$20,4,FALSE))*$K14)</f>
        <v>5647</v>
      </c>
      <c r="G33" s="149">
        <f>((HLOOKUP($D$7,'Coverage Units by State Size'!$B$15:$K$20,5,FALSE))*$D14)+((HLOOKUP($E$7,'Coverage Units by State Size'!$B$15:$K$20,5,FALSE))*$E14)+((HLOOKUP($F$7,'Coverage Units by State Size'!$B$15:$K$20,5,FALSE))*$F14)+((HLOOKUP($G$7,'Coverage Units by State Size'!$B$15:$K$20,5,FALSE))*$G14)+((HLOOKUP($H$7,'Coverage Units by State Size'!$B$15:$K$20,5,FALSE))*$H14)+((HLOOKUP($I$7,'Coverage Units by State Size'!$B$15:$K$20,5,FALSE))*$I14)+((HLOOKUP($J$7,'Coverage Units by State Size'!$B$15:$K$20,5,FALSE))*$J14)+((HLOOKUP($K$7,'Coverage Units by State Size'!$B$15:$K$20,5,FALSE))*$K14)</f>
        <v>4409</v>
      </c>
      <c r="H33" s="149">
        <f>((HLOOKUP($D$7,'Coverage Units by State Size'!$B$15:$K$20,6,FALSE))*$D14)+((HLOOKUP($E$7,'Coverage Units by State Size'!$B$15:$K$20,6,FALSE))*$E14)+((HLOOKUP($F$7,'Coverage Units by State Size'!$B$15:$K$20,6,FALSE))*$F14)+((HLOOKUP($G$7,'Coverage Units by State Size'!$B$15:$K$20,6,FALSE))*$G14)+((HLOOKUP($H$7,'Coverage Units by State Size'!$B$15:$K$20,6,FALSE))*$H14)+((HLOOKUP($I$7,'Coverage Units by State Size'!$B$15:$K$20,6,FALSE))*$I14)+((HLOOKUP($J$7,'Coverage Units by State Size'!$B$15:$K$20,6,FALSE))*$J14)+((HLOOKUP($K$7,'Coverage Units by State Size'!$B$15:$K$20,6,FALSE))*$K14)</f>
        <v>2856</v>
      </c>
      <c r="I33" s="254">
        <f t="shared" si="1"/>
        <v>19930</v>
      </c>
    </row>
    <row r="34" spans="1:11" x14ac:dyDescent="0.2">
      <c r="A34" s="134" t="str">
        <f t="shared" si="0"/>
        <v>State: General</v>
      </c>
      <c r="B34" s="134" t="s">
        <v>83</v>
      </c>
      <c r="C34" s="134" t="s">
        <v>77</v>
      </c>
      <c r="D34" s="328">
        <f>((HLOOKUP($D$7,'Coverage Units by State Size'!$B$15:$K$20,2,FALSE))*$D15)+((HLOOKUP($E$7,'Coverage Units by State Size'!$B$15:$K$20,2,FALSE))*$E15)+((HLOOKUP($F$7,'Coverage Units by State Size'!$B$15:$K$20,2,FALSE))*$F15)+((HLOOKUP($G$7,'Coverage Units by State Size'!$B$15:$K$20,2,FALSE))*$G15)+((HLOOKUP($H$7,'Coverage Units by State Size'!$B$15:$K$20,2,FALSE))*$H15)+((HLOOKUP($I$7,'Coverage Units by State Size'!$B$15:$K$20,2,FALSE))*$I15)+((HLOOKUP($J$7,'Coverage Units by State Size'!$B$15:$K$20,2,FALSE))*$J15)+((HLOOKUP($K$7,'Coverage Units by State Size'!$B$15:$K$20,2,FALSE))*$K15)</f>
        <v>18</v>
      </c>
      <c r="E34" s="148">
        <f>((HLOOKUP($D$7,'Coverage Units by State Size'!$B$15:$K$20,3,FALSE))*$D15)+((HLOOKUP($E$7,'Coverage Units by State Size'!$B$15:$K$20,3,FALSE))*$E15)+((HLOOKUP($F$7,'Coverage Units by State Size'!$B$15:$K$20,3,FALSE))*$F15)+((HLOOKUP($G$7,'Coverage Units by State Size'!$B$15:$K$20,3,FALSE))*$G15)+((HLOOKUP($H$7,'Coverage Units by State Size'!$B$15:$K$20,3,FALSE))*$H15)+((HLOOKUP($I$7,'Coverage Units by State Size'!$B$15:$K$20,3,FALSE))*$I15)+((HLOOKUP($J$7,'Coverage Units by State Size'!$B$15:$K$20,3,FALSE))*$J15)+((HLOOKUP($K$7,'Coverage Units by State Size'!$B$15:$K$20,3,FALSE))*$K15)</f>
        <v>63</v>
      </c>
      <c r="F34" s="328">
        <f>((HLOOKUP($D$7,'Coverage Units by State Size'!$B$15:$K$20,4,FALSE))*$D15)+((HLOOKUP($E$7,'Coverage Units by State Size'!$B$15:$K$20,4,FALSE))*$E15)+((HLOOKUP($F$7,'Coverage Units by State Size'!$B$15:$K$20,4,FALSE))*$F15)+((HLOOKUP($G$7,'Coverage Units by State Size'!$B$15:$K$20,4,FALSE))*$G15)+((HLOOKUP($H$7,'Coverage Units by State Size'!$B$15:$K$20,4,FALSE))*$H15)+((HLOOKUP($I$7,'Coverage Units by State Size'!$B$15:$K$20,4,FALSE))*$I15)+((HLOOKUP($J$7,'Coverage Units by State Size'!$B$15:$K$20,4,FALSE))*$J15)+((HLOOKUP($K$7,'Coverage Units by State Size'!$B$15:$K$20,4,FALSE))*$K15)</f>
        <v>42</v>
      </c>
      <c r="G34" s="148">
        <f>((HLOOKUP($D$7,'Coverage Units by State Size'!$B$15:$K$20,5,FALSE))*$D15)+((HLOOKUP($E$7,'Coverage Units by State Size'!$B$15:$K$20,5,FALSE))*$E15)+((HLOOKUP($F$7,'Coverage Units by State Size'!$B$15:$K$20,5,FALSE))*$F15)+((HLOOKUP($G$7,'Coverage Units by State Size'!$B$15:$K$20,5,FALSE))*$G15)+((HLOOKUP($H$7,'Coverage Units by State Size'!$B$15:$K$20,5,FALSE))*$H15)+((HLOOKUP($I$7,'Coverage Units by State Size'!$B$15:$K$20,5,FALSE))*$I15)+((HLOOKUP($J$7,'Coverage Units by State Size'!$B$15:$K$20,5,FALSE))*$J15)+((HLOOKUP($K$7,'Coverage Units by State Size'!$B$15:$K$20,5,FALSE))*$K15)</f>
        <v>15</v>
      </c>
      <c r="H34" s="323">
        <f>((HLOOKUP($D$7,'Coverage Units by State Size'!$B$15:$K$20,6,FALSE))*$D15)+((HLOOKUP($E$7,'Coverage Units by State Size'!$B$15:$K$20,6,FALSE))*$E15)+((HLOOKUP($F$7,'Coverage Units by State Size'!$B$15:$K$20,6,FALSE))*$F15)+((HLOOKUP($G$7,'Coverage Units by State Size'!$B$15:$K$20,6,FALSE))*$G15)+((HLOOKUP($H$7,'Coverage Units by State Size'!$B$15:$K$20,6,FALSE))*$H15)+((HLOOKUP($I$7,'Coverage Units by State Size'!$B$15:$K$20,6,FALSE))*$I15)+((HLOOKUP($J$7,'Coverage Units by State Size'!$B$15:$K$20,6,FALSE))*$J15)+((HLOOKUP($K$7,'Coverage Units by State Size'!$B$15:$K$20,6,FALSE))*$K15)</f>
        <v>12</v>
      </c>
      <c r="I34" s="155">
        <f t="shared" si="1"/>
        <v>150</v>
      </c>
    </row>
    <row r="35" spans="1:11" x14ac:dyDescent="0.2">
      <c r="A35" s="134" t="str">
        <f t="shared" si="0"/>
        <v>State: Multiple Related Topics</v>
      </c>
      <c r="C35" s="134" t="s">
        <v>78</v>
      </c>
      <c r="D35" s="323">
        <f>((HLOOKUP($D$7,'Coverage Units by State Size'!$B$15:$K$20,2,FALSE))*$D16)+((HLOOKUP($E$7,'Coverage Units by State Size'!$B$15:$K$20,2,FALSE))*$E16)+((HLOOKUP($F$7,'Coverage Units by State Size'!$B$15:$K$20,2,FALSE))*$F16)+((HLOOKUP($G$7,'Coverage Units by State Size'!$B$15:$K$20,2,FALSE))*$G16)+((HLOOKUP($H$7,'Coverage Units by State Size'!$B$15:$K$20,2,FALSE))*$H16)+((HLOOKUP($I$7,'Coverage Units by State Size'!$B$15:$K$20,2,FALSE))*$I16)+((HLOOKUP($J$7,'Coverage Units by State Size'!$B$15:$K$20,2,FALSE))*$J16)+((HLOOKUP($K$7,'Coverage Units by State Size'!$B$15:$K$20,2,FALSE))*$K16)</f>
        <v>58.605269999999997</v>
      </c>
      <c r="E35" s="148">
        <f>((HLOOKUP($D$7,'Coverage Units by State Size'!$B$15:$K$20,3,FALSE))*$D16)+((HLOOKUP($E$7,'Coverage Units by State Size'!$B$15:$K$20,3,FALSE))*$E16)+((HLOOKUP($F$7,'Coverage Units by State Size'!$B$15:$K$20,3,FALSE))*$F16)+((HLOOKUP($G$7,'Coverage Units by State Size'!$B$15:$K$20,3,FALSE))*$G16)+((HLOOKUP($H$7,'Coverage Units by State Size'!$B$15:$K$20,3,FALSE))*$H16)+((HLOOKUP($I$7,'Coverage Units by State Size'!$B$15:$K$20,3,FALSE))*$I16)+((HLOOKUP($J$7,'Coverage Units by State Size'!$B$15:$K$20,3,FALSE))*$J16)+((HLOOKUP($K$7,'Coverage Units by State Size'!$B$15:$K$20,3,FALSE))*$K16)</f>
        <v>657.66480999999999</v>
      </c>
      <c r="F35" s="323">
        <f>((HLOOKUP($D$7,'Coverage Units by State Size'!$B$15:$K$20,4,FALSE))*$D16)+((HLOOKUP($E$7,'Coverage Units by State Size'!$B$15:$K$20,4,FALSE))*$E16)+((HLOOKUP($F$7,'Coverage Units by State Size'!$B$15:$K$20,4,FALSE))*$F16)+((HLOOKUP($G$7,'Coverage Units by State Size'!$B$15:$K$20,4,FALSE))*$G16)+((HLOOKUP($H$7,'Coverage Units by State Size'!$B$15:$K$20,4,FALSE))*$H16)+((HLOOKUP($I$7,'Coverage Units by State Size'!$B$15:$K$20,4,FALSE))*$I16)+((HLOOKUP($J$7,'Coverage Units by State Size'!$B$15:$K$20,4,FALSE))*$J16)+((HLOOKUP($K$7,'Coverage Units by State Size'!$B$15:$K$20,4,FALSE))*$K16)</f>
        <v>1102.0469600000001</v>
      </c>
      <c r="G35" s="148">
        <f>((HLOOKUP($D$7,'Coverage Units by State Size'!$B$15:$K$20,5,FALSE))*$D16)+((HLOOKUP($E$7,'Coverage Units by State Size'!$B$15:$K$20,5,FALSE))*$E16)+((HLOOKUP($F$7,'Coverage Units by State Size'!$B$15:$K$20,5,FALSE))*$F16)+((HLOOKUP($G$7,'Coverage Units by State Size'!$B$15:$K$20,5,FALSE))*$G16)+((HLOOKUP($H$7,'Coverage Units by State Size'!$B$15:$K$20,5,FALSE))*$H16)+((HLOOKUP($I$7,'Coverage Units by State Size'!$B$15:$K$20,5,FALSE))*$I16)+((HLOOKUP($J$7,'Coverage Units by State Size'!$B$15:$K$20,5,FALSE))*$J16)+((HLOOKUP($K$7,'Coverage Units by State Size'!$B$15:$K$20,5,FALSE))*$K16)</f>
        <v>661.68416999999999</v>
      </c>
      <c r="H35" s="323">
        <f>((HLOOKUP($D$7,'Coverage Units by State Size'!$B$15:$K$20,6,FALSE))*$D16)+((HLOOKUP($E$7,'Coverage Units by State Size'!$B$15:$K$20,6,FALSE))*$E16)+((HLOOKUP($F$7,'Coverage Units by State Size'!$B$15:$K$20,6,FALSE))*$F16)+((HLOOKUP($G$7,'Coverage Units by State Size'!$B$15:$K$20,6,FALSE))*$G16)+((HLOOKUP($H$7,'Coverage Units by State Size'!$B$15:$K$20,6,FALSE))*$H16)+((HLOOKUP($I$7,'Coverage Units by State Size'!$B$15:$K$20,6,FALSE))*$I16)+((HLOOKUP($J$7,'Coverage Units by State Size'!$B$15:$K$20,6,FALSE))*$J16)+((HLOOKUP($K$7,'Coverage Units by State Size'!$B$15:$K$20,6,FALSE))*$K16)</f>
        <v>1237.39402</v>
      </c>
      <c r="I35" s="155">
        <f t="shared" si="1"/>
        <v>3717.3952300000001</v>
      </c>
    </row>
    <row r="36" spans="1:11" x14ac:dyDescent="0.2">
      <c r="A36" s="134" t="str">
        <f t="shared" si="0"/>
        <v>State: Single-Topic</v>
      </c>
      <c r="C36" s="134" t="s">
        <v>79</v>
      </c>
      <c r="D36" s="323">
        <f>((HLOOKUP($D$7,'Coverage Units by State Size'!$B$15:$K$20,2,FALSE))*$D17)+((HLOOKUP($E$7,'Coverage Units by State Size'!$B$15:$K$20,2,FALSE))*$E17)+((HLOOKUP($F$7,'Coverage Units by State Size'!$B$15:$K$20,2,FALSE))*$F17)+((HLOOKUP($G$7,'Coverage Units by State Size'!$B$15:$K$20,2,FALSE))*$G17)+((HLOOKUP($H$7,'Coverage Units by State Size'!$B$15:$K$20,2,FALSE))*$H17)+((HLOOKUP($I$7,'Coverage Units by State Size'!$B$15:$K$20,2,FALSE))*$I17)+((HLOOKUP($J$7,'Coverage Units by State Size'!$B$15:$K$20,2,FALSE))*$J17)+((HLOOKUP($K$7,'Coverage Units by State Size'!$B$15:$K$20,2,FALSE))*$K17)</f>
        <v>6</v>
      </c>
      <c r="E36" s="148">
        <f>((HLOOKUP($D$7,'Coverage Units by State Size'!$B$15:$K$20,3,FALSE))*$D17)+((HLOOKUP($E$7,'Coverage Units by State Size'!$B$15:$K$20,3,FALSE))*$E17)+((HLOOKUP($F$7,'Coverage Units by State Size'!$B$15:$K$20,3,FALSE))*$F17)+((HLOOKUP($G$7,'Coverage Units by State Size'!$B$15:$K$20,3,FALSE))*$G17)+((HLOOKUP($H$7,'Coverage Units by State Size'!$B$15:$K$20,3,FALSE))*$H17)+((HLOOKUP($I$7,'Coverage Units by State Size'!$B$15:$K$20,3,FALSE))*$I17)+((HLOOKUP($J$7,'Coverage Units by State Size'!$B$15:$K$20,3,FALSE))*$J17)+((HLOOKUP($K$7,'Coverage Units by State Size'!$B$15:$K$20,3,FALSE))*$K17)</f>
        <v>21</v>
      </c>
      <c r="F36" s="323">
        <f>((HLOOKUP($D$7,'Coverage Units by State Size'!$B$15:$K$20,4,FALSE))*$D17)+((HLOOKUP($E$7,'Coverage Units by State Size'!$B$15:$K$20,4,FALSE))*$E17)+((HLOOKUP($F$7,'Coverage Units by State Size'!$B$15:$K$20,4,FALSE))*$F17)+((HLOOKUP($G$7,'Coverage Units by State Size'!$B$15:$K$20,4,FALSE))*$G17)+((HLOOKUP($H$7,'Coverage Units by State Size'!$B$15:$K$20,4,FALSE))*$H17)+((HLOOKUP($I$7,'Coverage Units by State Size'!$B$15:$K$20,4,FALSE))*$I17)+((HLOOKUP($J$7,'Coverage Units by State Size'!$B$15:$K$20,4,FALSE))*$J17)+((HLOOKUP($K$7,'Coverage Units by State Size'!$B$15:$K$20,4,FALSE))*$K17)</f>
        <v>14</v>
      </c>
      <c r="G36" s="148">
        <f>((HLOOKUP($D$7,'Coverage Units by State Size'!$B$15:$K$20,5,FALSE))*$D17)+((HLOOKUP($E$7,'Coverage Units by State Size'!$B$15:$K$20,5,FALSE))*$E17)+((HLOOKUP($F$7,'Coverage Units by State Size'!$B$15:$K$20,5,FALSE))*$F17)+((HLOOKUP($G$7,'Coverage Units by State Size'!$B$15:$K$20,5,FALSE))*$G17)+((HLOOKUP($H$7,'Coverage Units by State Size'!$B$15:$K$20,5,FALSE))*$H17)+((HLOOKUP($I$7,'Coverage Units by State Size'!$B$15:$K$20,5,FALSE))*$I17)+((HLOOKUP($J$7,'Coverage Units by State Size'!$B$15:$K$20,5,FALSE))*$J17)+((HLOOKUP($K$7,'Coverage Units by State Size'!$B$15:$K$20,5,FALSE))*$K17)</f>
        <v>5</v>
      </c>
      <c r="H36" s="323">
        <f>((HLOOKUP($D$7,'Coverage Units by State Size'!$B$15:$K$20,6,FALSE))*$D17)+((HLOOKUP($E$7,'Coverage Units by State Size'!$B$15:$K$20,6,FALSE))*$E17)+((HLOOKUP($F$7,'Coverage Units by State Size'!$B$15:$K$20,6,FALSE))*$F17)+((HLOOKUP($G$7,'Coverage Units by State Size'!$B$15:$K$20,6,FALSE))*$G17)+((HLOOKUP($H$7,'Coverage Units by State Size'!$B$15:$K$20,6,FALSE))*$H17)+((HLOOKUP($I$7,'Coverage Units by State Size'!$B$15:$K$20,6,FALSE))*$I17)+((HLOOKUP($J$7,'Coverage Units by State Size'!$B$15:$K$20,6,FALSE))*$J17)+((HLOOKUP($K$7,'Coverage Units by State Size'!$B$15:$K$20,6,FALSE))*$K17)</f>
        <v>4</v>
      </c>
      <c r="I36" s="314">
        <f t="shared" si="1"/>
        <v>50</v>
      </c>
    </row>
    <row r="37" spans="1:11" x14ac:dyDescent="0.2">
      <c r="A37" s="134" t="str">
        <f t="shared" si="0"/>
        <v>State: Explanatory &amp; Analysis</v>
      </c>
      <c r="C37" s="134" t="s">
        <v>80</v>
      </c>
      <c r="D37" s="323">
        <f>((HLOOKUP($D$7,'Coverage Units by State Size'!$B$15:$K$20,2,FALSE))*$D18)+((HLOOKUP($E$7,'Coverage Units by State Size'!$B$15:$K$20,2,FALSE))*$E18)+((HLOOKUP($F$7,'Coverage Units by State Size'!$B$15:$K$20,2,FALSE))*$F18)+((HLOOKUP($G$7,'Coverage Units by State Size'!$B$15:$K$20,2,FALSE))*$G18)+((HLOOKUP($H$7,'Coverage Units by State Size'!$B$15:$K$20,2,FALSE))*$H18)+((HLOOKUP($I$7,'Coverage Units by State Size'!$B$15:$K$20,2,FALSE))*$I18)+((HLOOKUP($J$7,'Coverage Units by State Size'!$B$15:$K$20,2,FALSE))*$J18)+((HLOOKUP($K$7,'Coverage Units by State Size'!$B$15:$K$20,2,FALSE))*$K18)</f>
        <v>18</v>
      </c>
      <c r="E37" s="148">
        <f>((HLOOKUP($D$7,'Coverage Units by State Size'!$B$15:$K$20,3,FALSE))*$D18)+((HLOOKUP($E$7,'Coverage Units by State Size'!$B$15:$K$20,3,FALSE))*$E18)+((HLOOKUP($F$7,'Coverage Units by State Size'!$B$15:$K$20,3,FALSE))*$F18)+((HLOOKUP($G$7,'Coverage Units by State Size'!$B$15:$K$20,3,FALSE))*$G18)+((HLOOKUP($H$7,'Coverage Units by State Size'!$B$15:$K$20,3,FALSE))*$H18)+((HLOOKUP($I$7,'Coverage Units by State Size'!$B$15:$K$20,3,FALSE))*$I18)+((HLOOKUP($J$7,'Coverage Units by State Size'!$B$15:$K$20,3,FALSE))*$J18)+((HLOOKUP($K$7,'Coverage Units by State Size'!$B$15:$K$20,3,FALSE))*$K18)</f>
        <v>63</v>
      </c>
      <c r="F37" s="323">
        <f>((HLOOKUP($D$7,'Coverage Units by State Size'!$B$15:$K$20,4,FALSE))*$D18)+((HLOOKUP($E$7,'Coverage Units by State Size'!$B$15:$K$20,4,FALSE))*$E18)+((HLOOKUP($F$7,'Coverage Units by State Size'!$B$15:$K$20,4,FALSE))*$F18)+((HLOOKUP($G$7,'Coverage Units by State Size'!$B$15:$K$20,4,FALSE))*$G18)+((HLOOKUP($H$7,'Coverage Units by State Size'!$B$15:$K$20,4,FALSE))*$H18)+((HLOOKUP($I$7,'Coverage Units by State Size'!$B$15:$K$20,4,FALSE))*$I18)+((HLOOKUP($J$7,'Coverage Units by State Size'!$B$15:$K$20,4,FALSE))*$J18)+((HLOOKUP($K$7,'Coverage Units by State Size'!$B$15:$K$20,4,FALSE))*$K18)</f>
        <v>42</v>
      </c>
      <c r="G37" s="148">
        <f>((HLOOKUP($D$7,'Coverage Units by State Size'!$B$15:$K$20,5,FALSE))*$D18)+((HLOOKUP($E$7,'Coverage Units by State Size'!$B$15:$K$20,5,FALSE))*$E18)+((HLOOKUP($F$7,'Coverage Units by State Size'!$B$15:$K$20,5,FALSE))*$F18)+((HLOOKUP($G$7,'Coverage Units by State Size'!$B$15:$K$20,5,FALSE))*$G18)+((HLOOKUP($H$7,'Coverage Units by State Size'!$B$15:$K$20,5,FALSE))*$H18)+((HLOOKUP($I$7,'Coverage Units by State Size'!$B$15:$K$20,5,FALSE))*$I18)+((HLOOKUP($J$7,'Coverage Units by State Size'!$B$15:$K$20,5,FALSE))*$J18)+((HLOOKUP($K$7,'Coverage Units by State Size'!$B$15:$K$20,5,FALSE))*$K18)</f>
        <v>15</v>
      </c>
      <c r="H37" s="323">
        <f>((HLOOKUP($D$7,'Coverage Units by State Size'!$B$15:$K$20,6,FALSE))*$D18)+((HLOOKUP($E$7,'Coverage Units by State Size'!$B$15:$K$20,6,FALSE))*$E18)+((HLOOKUP($F$7,'Coverage Units by State Size'!$B$15:$K$20,6,FALSE))*$F18)+((HLOOKUP($G$7,'Coverage Units by State Size'!$B$15:$K$20,6,FALSE))*$G18)+((HLOOKUP($H$7,'Coverage Units by State Size'!$B$15:$K$20,6,FALSE))*$H18)+((HLOOKUP($I$7,'Coverage Units by State Size'!$B$15:$K$20,6,FALSE))*$I18)+((HLOOKUP($J$7,'Coverage Units by State Size'!$B$15:$K$20,6,FALSE))*$J18)+((HLOOKUP($K$7,'Coverage Units by State Size'!$B$15:$K$20,6,FALSE))*$K18)</f>
        <v>12</v>
      </c>
      <c r="I37" s="314">
        <f t="shared" si="1"/>
        <v>150</v>
      </c>
    </row>
    <row r="38" spans="1:11" x14ac:dyDescent="0.2">
      <c r="A38" s="134" t="str">
        <f t="shared" si="0"/>
        <v>State: Investigative</v>
      </c>
      <c r="C38" s="134" t="s">
        <v>81</v>
      </c>
      <c r="D38" s="323">
        <f>((HLOOKUP($D$7,'Coverage Units by State Size'!$B$15:$K$20,2,FALSE))*$D19)+((HLOOKUP($E$7,'Coverage Units by State Size'!$B$15:$K$20,2,FALSE))*$E19)+((HLOOKUP($F$7,'Coverage Units by State Size'!$B$15:$K$20,2,FALSE))*$F19)+((HLOOKUP($G$7,'Coverage Units by State Size'!$B$15:$K$20,2,FALSE))*$G19)+((HLOOKUP($H$7,'Coverage Units by State Size'!$B$15:$K$20,2,FALSE))*$H19)+((HLOOKUP($I$7,'Coverage Units by State Size'!$B$15:$K$20,2,FALSE))*$I19)+((HLOOKUP($J$7,'Coverage Units by State Size'!$B$15:$K$20,2,FALSE))*$J19)+((HLOOKUP($K$7,'Coverage Units by State Size'!$B$15:$K$20,2,FALSE))*$K19)</f>
        <v>18</v>
      </c>
      <c r="E38" s="148">
        <f>((HLOOKUP($D$7,'Coverage Units by State Size'!$B$15:$K$20,3,FALSE))*$D19)+((HLOOKUP($E$7,'Coverage Units by State Size'!$B$15:$K$20,3,FALSE))*$E19)+((HLOOKUP($F$7,'Coverage Units by State Size'!$B$15:$K$20,3,FALSE))*$F19)+((HLOOKUP($G$7,'Coverage Units by State Size'!$B$15:$K$20,3,FALSE))*$G19)+((HLOOKUP($H$7,'Coverage Units by State Size'!$B$15:$K$20,3,FALSE))*$H19)+((HLOOKUP($I$7,'Coverage Units by State Size'!$B$15:$K$20,3,FALSE))*$I19)+((HLOOKUP($J$7,'Coverage Units by State Size'!$B$15:$K$20,3,FALSE))*$J19)+((HLOOKUP($K$7,'Coverage Units by State Size'!$B$15:$K$20,3,FALSE))*$K19)</f>
        <v>63</v>
      </c>
      <c r="F38" s="323">
        <f>((HLOOKUP($D$7,'Coverage Units by State Size'!$B$15:$K$20,4,FALSE))*$D19)+((HLOOKUP($E$7,'Coverage Units by State Size'!$B$15:$K$20,4,FALSE))*$E19)+((HLOOKUP($F$7,'Coverage Units by State Size'!$B$15:$K$20,4,FALSE))*$F19)+((HLOOKUP($G$7,'Coverage Units by State Size'!$B$15:$K$20,4,FALSE))*$G19)+((HLOOKUP($H$7,'Coverage Units by State Size'!$B$15:$K$20,4,FALSE))*$H19)+((HLOOKUP($I$7,'Coverage Units by State Size'!$B$15:$K$20,4,FALSE))*$I19)+((HLOOKUP($J$7,'Coverage Units by State Size'!$B$15:$K$20,4,FALSE))*$J19)+((HLOOKUP($K$7,'Coverage Units by State Size'!$B$15:$K$20,4,FALSE))*$K19)</f>
        <v>42</v>
      </c>
      <c r="G38" s="148">
        <f>((HLOOKUP($D$7,'Coverage Units by State Size'!$B$15:$K$20,5,FALSE))*$D19)+((HLOOKUP($E$7,'Coverage Units by State Size'!$B$15:$K$20,5,FALSE))*$E19)+((HLOOKUP($F$7,'Coverage Units by State Size'!$B$15:$K$20,5,FALSE))*$F19)+((HLOOKUP($G$7,'Coverage Units by State Size'!$B$15:$K$20,5,FALSE))*$G19)+((HLOOKUP($H$7,'Coverage Units by State Size'!$B$15:$K$20,5,FALSE))*$H19)+((HLOOKUP($I$7,'Coverage Units by State Size'!$B$15:$K$20,5,FALSE))*$I19)+((HLOOKUP($J$7,'Coverage Units by State Size'!$B$15:$K$20,5,FALSE))*$J19)+((HLOOKUP($K$7,'Coverage Units by State Size'!$B$15:$K$20,5,FALSE))*$K19)</f>
        <v>15</v>
      </c>
      <c r="H38" s="323">
        <f>((HLOOKUP($D$7,'Coverage Units by State Size'!$B$15:$K$20,6,FALSE))*$D19)+((HLOOKUP($E$7,'Coverage Units by State Size'!$B$15:$K$20,6,FALSE))*$E19)+((HLOOKUP($F$7,'Coverage Units by State Size'!$B$15:$K$20,6,FALSE))*$F19)+((HLOOKUP($G$7,'Coverage Units by State Size'!$B$15:$K$20,6,FALSE))*$G19)+((HLOOKUP($H$7,'Coverage Units by State Size'!$B$15:$K$20,6,FALSE))*$H19)+((HLOOKUP($I$7,'Coverage Units by State Size'!$B$15:$K$20,6,FALSE))*$I19)+((HLOOKUP($J$7,'Coverage Units by State Size'!$B$15:$K$20,6,FALSE))*$J19)+((HLOOKUP($K$7,'Coverage Units by State Size'!$B$15:$K$20,6,FALSE))*$K19)</f>
        <v>12</v>
      </c>
      <c r="I38" s="314">
        <f t="shared" si="1"/>
        <v>150</v>
      </c>
    </row>
    <row r="39" spans="1:11" x14ac:dyDescent="0.2">
      <c r="A39" s="134" t="str">
        <f t="shared" si="0"/>
        <v>State: Current News &amp; Events</v>
      </c>
      <c r="B39" s="137"/>
      <c r="C39" s="137" t="s">
        <v>82</v>
      </c>
      <c r="D39" s="149">
        <f>((HLOOKUP($D$7,'Coverage Units by State Size'!$B$15:$K$20,2,FALSE))*$D20)+((HLOOKUP($E$7,'Coverage Units by State Size'!$B$15:$K$20,2,FALSE))*$E20)+((HLOOKUP($F$7,'Coverage Units by State Size'!$B$15:$K$20,2,FALSE))*$F20)+((HLOOKUP($G$7,'Coverage Units by State Size'!$B$15:$K$20,2,FALSE))*$G20)+((HLOOKUP($H$7,'Coverage Units by State Size'!$B$15:$K$20,2,FALSE))*$H20)+((HLOOKUP($I$7,'Coverage Units by State Size'!$B$15:$K$20,2,FALSE))*$I20)+((HLOOKUP($J$7,'Coverage Units by State Size'!$B$15:$K$20,2,FALSE))*$J20)+((HLOOKUP($K$7,'Coverage Units by State Size'!$B$15:$K$20,2,FALSE))*$K20)</f>
        <v>18</v>
      </c>
      <c r="E39" s="149">
        <f>((HLOOKUP($D$7,'Coverage Units by State Size'!$B$15:$K$20,3,FALSE))*$D20)+((HLOOKUP($E$7,'Coverage Units by State Size'!$B$15:$K$20,3,FALSE))*$E20)+((HLOOKUP($F$7,'Coverage Units by State Size'!$B$15:$K$20,3,FALSE))*$F20)+((HLOOKUP($G$7,'Coverage Units by State Size'!$B$15:$K$20,3,FALSE))*$G20)+((HLOOKUP($H$7,'Coverage Units by State Size'!$B$15:$K$20,3,FALSE))*$H20)+((HLOOKUP($I$7,'Coverage Units by State Size'!$B$15:$K$20,3,FALSE))*$I20)+((HLOOKUP($J$7,'Coverage Units by State Size'!$B$15:$K$20,3,FALSE))*$J20)+((HLOOKUP($K$7,'Coverage Units by State Size'!$B$15:$K$20,3,FALSE))*$K20)</f>
        <v>63</v>
      </c>
      <c r="F39" s="149">
        <f>((HLOOKUP($D$7,'Coverage Units by State Size'!$B$15:$K$20,4,FALSE))*$D20)+((HLOOKUP($E$7,'Coverage Units by State Size'!$B$15:$K$20,4,FALSE))*$E20)+((HLOOKUP($F$7,'Coverage Units by State Size'!$B$15:$K$20,4,FALSE))*$F20)+((HLOOKUP($G$7,'Coverage Units by State Size'!$B$15:$K$20,4,FALSE))*$G20)+((HLOOKUP($H$7,'Coverage Units by State Size'!$B$15:$K$20,4,FALSE))*$H20)+((HLOOKUP($I$7,'Coverage Units by State Size'!$B$15:$K$20,4,FALSE))*$I20)+((HLOOKUP($J$7,'Coverage Units by State Size'!$B$15:$K$20,4,FALSE))*$J20)+((HLOOKUP($K$7,'Coverage Units by State Size'!$B$15:$K$20,4,FALSE))*$K20)</f>
        <v>42</v>
      </c>
      <c r="G39" s="148">
        <f>((HLOOKUP($D$7,'Coverage Units by State Size'!$B$15:$K$20,5,FALSE))*$D20)+((HLOOKUP($E$7,'Coverage Units by State Size'!$B$15:$K$20,5,FALSE))*$E20)+((HLOOKUP($F$7,'Coverage Units by State Size'!$B$15:$K$20,5,FALSE))*$F20)+((HLOOKUP($G$7,'Coverage Units by State Size'!$B$15:$K$20,5,FALSE))*$G20)+((HLOOKUP($H$7,'Coverage Units by State Size'!$B$15:$K$20,5,FALSE))*$H20)+((HLOOKUP($I$7,'Coverage Units by State Size'!$B$15:$K$20,5,FALSE))*$I20)+((HLOOKUP($J$7,'Coverage Units by State Size'!$B$15:$K$20,5,FALSE))*$J20)+((HLOOKUP($K$7,'Coverage Units by State Size'!$B$15:$K$20,5,FALSE))*$K20)</f>
        <v>15</v>
      </c>
      <c r="H39" s="323">
        <f>((HLOOKUP($D$7,'Coverage Units by State Size'!$B$15:$K$20,6,FALSE))*$D20)+((HLOOKUP($E$7,'Coverage Units by State Size'!$B$15:$K$20,6,FALSE))*$E20)+((HLOOKUP($F$7,'Coverage Units by State Size'!$B$15:$K$20,6,FALSE))*$F20)+((HLOOKUP($G$7,'Coverage Units by State Size'!$B$15:$K$20,6,FALSE))*$G20)+((HLOOKUP($H$7,'Coverage Units by State Size'!$B$15:$K$20,6,FALSE))*$H20)+((HLOOKUP($I$7,'Coverage Units by State Size'!$B$15:$K$20,6,FALSE))*$I20)+((HLOOKUP($J$7,'Coverage Units by State Size'!$B$15:$K$20,6,FALSE))*$J20)+((HLOOKUP($K$7,'Coverage Units by State Size'!$B$15:$K$20,6,FALSE))*$K20)</f>
        <v>12</v>
      </c>
      <c r="I39" s="254">
        <f t="shared" si="1"/>
        <v>150</v>
      </c>
    </row>
    <row r="40" spans="1:11" hidden="1" outlineLevel="1" x14ac:dyDescent="0.2">
      <c r="A40" s="134" t="str">
        <f t="shared" si="0"/>
        <v>Public Radio: Small</v>
      </c>
      <c r="B40" s="134" t="s">
        <v>84</v>
      </c>
      <c r="C40" s="134" t="s">
        <v>62</v>
      </c>
      <c r="D40" s="148">
        <f>((HLOOKUP($D$7,'Coverage Units by State Size'!$B$15:$K$20,2,FALSE))*$D21)+((HLOOKUP($E$7,'Coverage Units by State Size'!$B$15:$K$20,2,FALSE))*$E21)+((HLOOKUP($F$7,'Coverage Units by State Size'!$B$15:$K$20,2,FALSE))*$F21)+((HLOOKUP($G$7,'Coverage Units by State Size'!$B$15:$K$20,2,FALSE))*$G21)+((HLOOKUP($H$7,'Coverage Units by State Size'!$B$15:$K$20,2,FALSE))*$H21)+((HLOOKUP($I$7,'Coverage Units by State Size'!$B$15:$K$20,2,FALSE))*$I21)+((HLOOKUP($J$7,'Coverage Units by State Size'!$B$15:$K$20,2,FALSE))*$J21)+((HLOOKUP($K$7,'Coverage Units by State Size'!$B$15:$K$20,2,FALSE))*$K21)</f>
        <v>0</v>
      </c>
      <c r="E40" s="323">
        <f>((HLOOKUP($D$7,'Coverage Units by State Size'!$B$15:$K$20,3,FALSE))*$D21)+((HLOOKUP($E$7,'Coverage Units by State Size'!$B$15:$K$20,3,FALSE))*$E21)+((HLOOKUP($F$7,'Coverage Units by State Size'!$B$15:$K$20,3,FALSE))*$F21)+((HLOOKUP($G$7,'Coverage Units by State Size'!$B$15:$K$20,3,FALSE))*$G21)+((HLOOKUP($H$7,'Coverage Units by State Size'!$B$15:$K$20,3,FALSE))*$H21)+((HLOOKUP($I$7,'Coverage Units by State Size'!$B$15:$K$20,3,FALSE))*$I21)+((HLOOKUP($J$7,'Coverage Units by State Size'!$B$15:$K$20,3,FALSE))*$J21)+((HLOOKUP($K$7,'Coverage Units by State Size'!$B$15:$K$20,3,FALSE))*$K21)</f>
        <v>0</v>
      </c>
      <c r="F40" s="323">
        <f>((HLOOKUP($D$7,'Coverage Units by State Size'!$B$15:$K$20,4,FALSE))*$D21)+((HLOOKUP($E$7,'Coverage Units by State Size'!$B$15:$K$20,4,FALSE))*$E21)+((HLOOKUP($F$7,'Coverage Units by State Size'!$B$15:$K$20,4,FALSE))*$F21)+((HLOOKUP($G$7,'Coverage Units by State Size'!$B$15:$K$20,4,FALSE))*$G21)+((HLOOKUP($H$7,'Coverage Units by State Size'!$B$15:$K$20,4,FALSE))*$H21)+((HLOOKUP($I$7,'Coverage Units by State Size'!$B$15:$K$20,4,FALSE))*$I21)+((HLOOKUP($J$7,'Coverage Units by State Size'!$B$15:$K$20,4,FALSE))*$J21)+((HLOOKUP($K$7,'Coverage Units by State Size'!$B$15:$K$20,4,FALSE))*$K21)</f>
        <v>0</v>
      </c>
      <c r="G40" s="328">
        <f>((HLOOKUP($D$7,'Coverage Units by State Size'!$B$15:$K$20,5,FALSE))*$D21)+((HLOOKUP($E$7,'Coverage Units by State Size'!$B$15:$K$20,5,FALSE))*$E21)+((HLOOKUP($F$7,'Coverage Units by State Size'!$B$15:$K$20,5,FALSE))*$F21)+((HLOOKUP($G$7,'Coverage Units by State Size'!$B$15:$K$20,5,FALSE))*$G21)+((HLOOKUP($H$7,'Coverage Units by State Size'!$B$15:$K$20,5,FALSE))*$H21)+((HLOOKUP($I$7,'Coverage Units by State Size'!$B$15:$K$20,5,FALSE))*$I21)+((HLOOKUP($J$7,'Coverage Units by State Size'!$B$15:$K$20,5,FALSE))*$J21)+((HLOOKUP($K$7,'Coverage Units by State Size'!$B$15:$K$20,5,FALSE))*$K21)</f>
        <v>0</v>
      </c>
      <c r="H40" s="328">
        <f>((HLOOKUP($D$7,'Coverage Units by State Size'!$B$15:$K$20,6,FALSE))*$D21)+((HLOOKUP($E$7,'Coverage Units by State Size'!$B$15:$K$20,6,FALSE))*$E21)+((HLOOKUP($F$7,'Coverage Units by State Size'!$B$15:$K$20,6,FALSE))*$F21)+((HLOOKUP($G$7,'Coverage Units by State Size'!$B$15:$K$20,6,FALSE))*$G21)+((HLOOKUP($H$7,'Coverage Units by State Size'!$B$15:$K$20,6,FALSE))*$H21)+((HLOOKUP($I$7,'Coverage Units by State Size'!$B$15:$K$20,6,FALSE))*$I21)+((HLOOKUP($J$7,'Coverage Units by State Size'!$B$15:$K$20,6,FALSE))*$J21)+((HLOOKUP($K$7,'Coverage Units by State Size'!$B$15:$K$20,6,FALSE))*$K21)</f>
        <v>0</v>
      </c>
      <c r="I40" s="314">
        <f t="shared" si="1"/>
        <v>0</v>
      </c>
    </row>
    <row r="41" spans="1:11" hidden="1" outlineLevel="1" x14ac:dyDescent="0.2">
      <c r="A41" s="134" t="str">
        <f t="shared" si="0"/>
        <v>Public Radio: Medium</v>
      </c>
      <c r="C41" s="134" t="s">
        <v>63</v>
      </c>
      <c r="D41" s="148">
        <f>((HLOOKUP($D$7,'Coverage Units by State Size'!$B$15:$K$20,2,FALSE))*$D22)+((HLOOKUP($E$7,'Coverage Units by State Size'!$B$15:$K$20,2,FALSE))*$E22)+((HLOOKUP($F$7,'Coverage Units by State Size'!$B$15:$K$20,2,FALSE))*$F22)+((HLOOKUP($G$7,'Coverage Units by State Size'!$B$15:$K$20,2,FALSE))*$G22)+((HLOOKUP($H$7,'Coverage Units by State Size'!$B$15:$K$20,2,FALSE))*$H22)+((HLOOKUP($I$7,'Coverage Units by State Size'!$B$15:$K$20,2,FALSE))*$I22)+((HLOOKUP($J$7,'Coverage Units by State Size'!$B$15:$K$20,2,FALSE))*$J22)+((HLOOKUP($K$7,'Coverage Units by State Size'!$B$15:$K$20,2,FALSE))*$K22)</f>
        <v>0</v>
      </c>
      <c r="E41" s="323">
        <f>((HLOOKUP($D$7,'Coverage Units by State Size'!$B$15:$K$20,3,FALSE))*$D22)+((HLOOKUP($E$7,'Coverage Units by State Size'!$B$15:$K$20,3,FALSE))*$E22)+((HLOOKUP($F$7,'Coverage Units by State Size'!$B$15:$K$20,3,FALSE))*$F22)+((HLOOKUP($G$7,'Coverage Units by State Size'!$B$15:$K$20,3,FALSE))*$G22)+((HLOOKUP($H$7,'Coverage Units by State Size'!$B$15:$K$20,3,FALSE))*$H22)+((HLOOKUP($I$7,'Coverage Units by State Size'!$B$15:$K$20,3,FALSE))*$I22)+((HLOOKUP($J$7,'Coverage Units by State Size'!$B$15:$K$20,3,FALSE))*$J22)+((HLOOKUP($K$7,'Coverage Units by State Size'!$B$15:$K$20,3,FALSE))*$K22)</f>
        <v>0</v>
      </c>
      <c r="F41" s="323">
        <f>((HLOOKUP($D$7,'Coverage Units by State Size'!$B$15:$K$20,4,FALSE))*$D22)+((HLOOKUP($E$7,'Coverage Units by State Size'!$B$15:$K$20,4,FALSE))*$E22)+((HLOOKUP($F$7,'Coverage Units by State Size'!$B$15:$K$20,4,FALSE))*$F22)+((HLOOKUP($G$7,'Coverage Units by State Size'!$B$15:$K$20,4,FALSE))*$G22)+((HLOOKUP($H$7,'Coverage Units by State Size'!$B$15:$K$20,4,FALSE))*$H22)+((HLOOKUP($I$7,'Coverage Units by State Size'!$B$15:$K$20,4,FALSE))*$I22)+((HLOOKUP($J$7,'Coverage Units by State Size'!$B$15:$K$20,4,FALSE))*$J22)+((HLOOKUP($K$7,'Coverage Units by State Size'!$B$15:$K$20,4,FALSE))*$K22)</f>
        <v>0</v>
      </c>
      <c r="G41" s="323">
        <f>((HLOOKUP($D$7,'Coverage Units by State Size'!$B$15:$K$20,5,FALSE))*$D22)+((HLOOKUP($E$7,'Coverage Units by State Size'!$B$15:$K$20,5,FALSE))*$E22)+((HLOOKUP($F$7,'Coverage Units by State Size'!$B$15:$K$20,5,FALSE))*$F22)+((HLOOKUP($G$7,'Coverage Units by State Size'!$B$15:$K$20,5,FALSE))*$G22)+((HLOOKUP($H$7,'Coverage Units by State Size'!$B$15:$K$20,5,FALSE))*$H22)+((HLOOKUP($I$7,'Coverage Units by State Size'!$B$15:$K$20,5,FALSE))*$I22)+((HLOOKUP($J$7,'Coverage Units by State Size'!$B$15:$K$20,5,FALSE))*$J22)+((HLOOKUP($K$7,'Coverage Units by State Size'!$B$15:$K$20,5,FALSE))*$K22)</f>
        <v>0</v>
      </c>
      <c r="H41" s="323">
        <f>((HLOOKUP($D$7,'Coverage Units by State Size'!$B$15:$K$20,6,FALSE))*$D22)+((HLOOKUP($E$7,'Coverage Units by State Size'!$B$15:$K$20,6,FALSE))*$E22)+((HLOOKUP($F$7,'Coverage Units by State Size'!$B$15:$K$20,6,FALSE))*$F22)+((HLOOKUP($G$7,'Coverage Units by State Size'!$B$15:$K$20,6,FALSE))*$G22)+((HLOOKUP($H$7,'Coverage Units by State Size'!$B$15:$K$20,6,FALSE))*$H22)+((HLOOKUP($I$7,'Coverage Units by State Size'!$B$15:$K$20,6,FALSE))*$I22)+((HLOOKUP($J$7,'Coverage Units by State Size'!$B$15:$K$20,6,FALSE))*$J22)+((HLOOKUP($K$7,'Coverage Units by State Size'!$B$15:$K$20,6,FALSE))*$K22)</f>
        <v>0</v>
      </c>
      <c r="I41" s="314">
        <f t="shared" si="1"/>
        <v>0</v>
      </c>
    </row>
    <row r="42" spans="1:11" hidden="1" outlineLevel="1" x14ac:dyDescent="0.2">
      <c r="A42" s="134" t="str">
        <f t="shared" si="0"/>
        <v>Public Radio: Large</v>
      </c>
      <c r="B42" s="137"/>
      <c r="C42" s="137" t="s">
        <v>64</v>
      </c>
      <c r="D42" s="149">
        <f>((HLOOKUP($D$7,'Coverage Units by State Size'!$B$15:$K$20,2,FALSE))*$D23)+((HLOOKUP($E$7,'Coverage Units by State Size'!$B$15:$K$20,2,FALSE))*$E23)+((HLOOKUP($F$7,'Coverage Units by State Size'!$B$15:$K$20,2,FALSE))*$F23)+((HLOOKUP($G$7,'Coverage Units by State Size'!$B$15:$K$20,2,FALSE))*$G23)+((HLOOKUP($H$7,'Coverage Units by State Size'!$B$15:$K$20,2,FALSE))*$H23)+((HLOOKUP($I$7,'Coverage Units by State Size'!$B$15:$K$20,2,FALSE))*$I23)+((HLOOKUP($J$7,'Coverage Units by State Size'!$B$15:$K$20,2,FALSE))*$J23)+((HLOOKUP($K$7,'Coverage Units by State Size'!$B$15:$K$20,2,FALSE))*$K23)</f>
        <v>0</v>
      </c>
      <c r="E42" s="149">
        <f>((HLOOKUP($D$7,'Coverage Units by State Size'!$B$15:$K$20,3,FALSE))*$D23)+((HLOOKUP($E$7,'Coverage Units by State Size'!$B$15:$K$20,3,FALSE))*$E23)+((HLOOKUP($F$7,'Coverage Units by State Size'!$B$15:$K$20,3,FALSE))*$F23)+((HLOOKUP($G$7,'Coverage Units by State Size'!$B$15:$K$20,3,FALSE))*$G23)+((HLOOKUP($H$7,'Coverage Units by State Size'!$B$15:$K$20,3,FALSE))*$H23)+((HLOOKUP($I$7,'Coverage Units by State Size'!$B$15:$K$20,3,FALSE))*$I23)+((HLOOKUP($J$7,'Coverage Units by State Size'!$B$15:$K$20,3,FALSE))*$J23)+((HLOOKUP($K$7,'Coverage Units by State Size'!$B$15:$K$20,3,FALSE))*$K23)</f>
        <v>0</v>
      </c>
      <c r="F42" s="149">
        <f>((HLOOKUP($D$7,'Coverage Units by State Size'!$B$15:$K$20,4,FALSE))*$D23)+((HLOOKUP($E$7,'Coverage Units by State Size'!$B$15:$K$20,4,FALSE))*$E23)+((HLOOKUP($F$7,'Coverage Units by State Size'!$B$15:$K$20,4,FALSE))*$F23)+((HLOOKUP($G$7,'Coverage Units by State Size'!$B$15:$K$20,4,FALSE))*$G23)+((HLOOKUP($H$7,'Coverage Units by State Size'!$B$15:$K$20,4,FALSE))*$H23)+((HLOOKUP($I$7,'Coverage Units by State Size'!$B$15:$K$20,4,FALSE))*$I23)+((HLOOKUP($J$7,'Coverage Units by State Size'!$B$15:$K$20,4,FALSE))*$J23)+((HLOOKUP($K$7,'Coverage Units by State Size'!$B$15:$K$20,4,FALSE))*$K23)</f>
        <v>0</v>
      </c>
      <c r="G42" s="149">
        <f>((HLOOKUP($D$7,'Coverage Units by State Size'!$B$15:$K$20,5,FALSE))*$D23)+((HLOOKUP($E$7,'Coverage Units by State Size'!$B$15:$K$20,5,FALSE))*$E23)+((HLOOKUP($F$7,'Coverage Units by State Size'!$B$15:$K$20,5,FALSE))*$F23)+((HLOOKUP($G$7,'Coverage Units by State Size'!$B$15:$K$20,5,FALSE))*$G23)+((HLOOKUP($H$7,'Coverage Units by State Size'!$B$15:$K$20,5,FALSE))*$H23)+((HLOOKUP($I$7,'Coverage Units by State Size'!$B$15:$K$20,5,FALSE))*$I23)+((HLOOKUP($J$7,'Coverage Units by State Size'!$B$15:$K$20,5,FALSE))*$J23)+((HLOOKUP($K$7,'Coverage Units by State Size'!$B$15:$K$20,5,FALSE))*$K23)</f>
        <v>0</v>
      </c>
      <c r="H42" s="149">
        <f>((HLOOKUP($D$7,'Coverage Units by State Size'!$B$15:$K$20,6,FALSE))*$D23)+((HLOOKUP($E$7,'Coverage Units by State Size'!$B$15:$K$20,6,FALSE))*$E23)+((HLOOKUP($F$7,'Coverage Units by State Size'!$B$15:$K$20,6,FALSE))*$F23)+((HLOOKUP($G$7,'Coverage Units by State Size'!$B$15:$K$20,6,FALSE))*$G23)+((HLOOKUP($H$7,'Coverage Units by State Size'!$B$15:$K$20,6,FALSE))*$H23)+((HLOOKUP($I$7,'Coverage Units by State Size'!$B$15:$K$20,6,FALSE))*$I23)+((HLOOKUP($J$7,'Coverage Units by State Size'!$B$15:$K$20,6,FALSE))*$J23)+((HLOOKUP($K$7,'Coverage Units by State Size'!$B$15:$K$20,6,FALSE))*$K23)</f>
        <v>0</v>
      </c>
      <c r="I42" s="254">
        <f t="shared" si="1"/>
        <v>0</v>
      </c>
    </row>
    <row r="43" spans="1:11" collapsed="1" x14ac:dyDescent="0.2">
      <c r="C43" s="133" t="s">
        <v>60</v>
      </c>
      <c r="D43" s="255">
        <f t="shared" ref="D43:I43" si="2">SUM(D27:D39)</f>
        <v>3115.60527</v>
      </c>
      <c r="E43" s="255">
        <f t="shared" si="2"/>
        <v>17939.664809999998</v>
      </c>
      <c r="F43" s="255">
        <f t="shared" si="2"/>
        <v>18041.04696</v>
      </c>
      <c r="G43" s="255">
        <f t="shared" si="2"/>
        <v>12798.68417</v>
      </c>
      <c r="H43" s="255">
        <f t="shared" si="2"/>
        <v>11110.39402</v>
      </c>
      <c r="I43" s="255">
        <f t="shared" si="2"/>
        <v>63005.395230000002</v>
      </c>
    </row>
    <row r="45" spans="1:11" x14ac:dyDescent="0.2">
      <c r="B45" s="140" t="s">
        <v>67</v>
      </c>
      <c r="C45" s="140"/>
      <c r="D45" s="140"/>
      <c r="E45" s="140"/>
      <c r="F45" s="140"/>
      <c r="G45" s="140"/>
      <c r="H45" s="140"/>
      <c r="I45" s="140"/>
    </row>
    <row r="46" spans="1:11" x14ac:dyDescent="0.2">
      <c r="B46" s="147" t="s">
        <v>74</v>
      </c>
      <c r="C46" s="147" t="s">
        <v>86</v>
      </c>
      <c r="D46" s="147" t="s">
        <v>61</v>
      </c>
      <c r="E46" s="147" t="s">
        <v>62</v>
      </c>
      <c r="F46" s="147" t="s">
        <v>63</v>
      </c>
      <c r="G46" s="147" t="s">
        <v>64</v>
      </c>
      <c r="H46" s="147" t="s">
        <v>65</v>
      </c>
      <c r="I46" s="147" t="s">
        <v>60</v>
      </c>
    </row>
    <row r="47" spans="1:11" x14ac:dyDescent="0.2">
      <c r="A47" s="134" t="str">
        <f>A27</f>
        <v>Hyper-local: General</v>
      </c>
      <c r="B47" s="137" t="s">
        <v>76</v>
      </c>
      <c r="C47" s="137" t="s">
        <v>77</v>
      </c>
      <c r="D47" s="329">
        <f>D27*HLOOKUP($A47,'Model Org Stats'!$E$6:$CO$38,21, FALSE)</f>
        <v>227520</v>
      </c>
      <c r="E47" s="329">
        <f>E27*HLOOKUP($A47,'Model Org Stats'!$E$6:$CO$38,21, FALSE)</f>
        <v>2957760</v>
      </c>
      <c r="F47" s="329">
        <f>F27*HLOOKUP($A47,'Model Org Stats'!$E$6:$CO$38,21, FALSE)</f>
        <v>9783360</v>
      </c>
      <c r="G47" s="329">
        <f>G27*HLOOKUP($A47,'Model Org Stats'!$E$6:$CO$38,21, FALSE)</f>
        <v>8987040</v>
      </c>
      <c r="H47" s="329">
        <f>H27*HLOOKUP($A47,'Model Org Stats'!$E$6:$CO$38,21, FALSE)</f>
        <v>21690240</v>
      </c>
      <c r="I47" s="252">
        <f>SUM(D47:H47)</f>
        <v>43645920</v>
      </c>
    </row>
    <row r="48" spans="1:11" x14ac:dyDescent="0.2">
      <c r="A48" s="134" t="str">
        <f t="shared" ref="A48:A62" si="3">A28</f>
        <v>Local: General</v>
      </c>
      <c r="B48" s="134" t="s">
        <v>7</v>
      </c>
      <c r="C48" s="134" t="s">
        <v>77</v>
      </c>
      <c r="D48" s="247">
        <f>D28*HLOOKUP($A48,'Model Org Stats'!$E$6:$CO$38,21, FALSE)</f>
        <v>67461590.152941212</v>
      </c>
      <c r="E48" s="247">
        <f>E28*HLOOKUP($A48,'Model Org Stats'!$E$6:$CO$38,21, FALSE)</f>
        <v>414850008.41176492</v>
      </c>
      <c r="F48" s="247">
        <f>F28*HLOOKUP($A48,'Model Org Stats'!$E$6:$CO$38,21, FALSE)</f>
        <v>327615193.5588237</v>
      </c>
      <c r="G48" s="247">
        <f>G28*HLOOKUP($A48,'Model Org Stats'!$E$6:$CO$38,21, FALSE)</f>
        <v>196956826.42352954</v>
      </c>
      <c r="H48" s="247">
        <f>H28*HLOOKUP($A48,'Model Org Stats'!$E$6:$CO$38,21, FALSE)</f>
        <v>168266265.09411773</v>
      </c>
      <c r="I48" s="248">
        <f>SUM(D48:H48)</f>
        <v>1175149883.6411772</v>
      </c>
      <c r="J48" s="200"/>
      <c r="K48" s="200"/>
    </row>
    <row r="49" spans="1:9" x14ac:dyDescent="0.2">
      <c r="A49" s="134" t="str">
        <f t="shared" si="3"/>
        <v>Local: Multiple Related Topics</v>
      </c>
      <c r="C49" s="134" t="s">
        <v>78</v>
      </c>
      <c r="D49" s="247">
        <f>D29*HLOOKUP($A49,'Model Org Stats'!$E$6:$CO$38,21, FALSE)</f>
        <v>286207582.37333333</v>
      </c>
      <c r="E49" s="247">
        <f>E29*HLOOKUP($A49,'Model Org Stats'!$E$6:$CO$38,21, FALSE)</f>
        <v>1679159162.3390477</v>
      </c>
      <c r="F49" s="247">
        <f>F29*HLOOKUP($A49,'Model Org Stats'!$E$6:$CO$38,21, FALSE)</f>
        <v>1581422913.5638096</v>
      </c>
      <c r="G49" s="247">
        <f>G29*HLOOKUP($A49,'Model Org Stats'!$E$6:$CO$38,21, FALSE)</f>
        <v>1234725274.6419048</v>
      </c>
      <c r="H49" s="247">
        <f>H29*HLOOKUP($A49,'Model Org Stats'!$E$6:$CO$38,21, FALSE)</f>
        <v>799812969.92000008</v>
      </c>
      <c r="I49" s="248">
        <f t="shared" ref="I49:I53" si="4">SUM(D49:H49)</f>
        <v>5581327902.8380957</v>
      </c>
    </row>
    <row r="50" spans="1:9" x14ac:dyDescent="0.2">
      <c r="A50" s="134" t="str">
        <f t="shared" si="3"/>
        <v>Local: Single-Topic</v>
      </c>
      <c r="C50" s="134" t="s">
        <v>79</v>
      </c>
      <c r="D50" s="247">
        <f>D30*HLOOKUP($A50,'Model Org Stats'!$E$6:$CO$38,21, FALSE)</f>
        <v>144125509</v>
      </c>
      <c r="E50" s="247">
        <f>E30*HLOOKUP($A50,'Model Org Stats'!$E$6:$CO$38,21, FALSE)</f>
        <v>733143193</v>
      </c>
      <c r="F50" s="247">
        <f>F30*HLOOKUP($A50,'Model Org Stats'!$E$6:$CO$38,21, FALSE)</f>
        <v>821926071</v>
      </c>
      <c r="G50" s="247">
        <f>G30*HLOOKUP($A50,'Model Org Stats'!$E$6:$CO$38,21, FALSE)</f>
        <v>473247940</v>
      </c>
      <c r="H50" s="247">
        <f>H30*HLOOKUP($A50,'Model Org Stats'!$E$6:$CO$38,21, FALSE)</f>
        <v>577284264</v>
      </c>
      <c r="I50" s="248">
        <f t="shared" si="4"/>
        <v>2749726977</v>
      </c>
    </row>
    <row r="51" spans="1:9" x14ac:dyDescent="0.2">
      <c r="A51" s="134" t="str">
        <f t="shared" si="3"/>
        <v>Local: Explanatory &amp; Analysis</v>
      </c>
      <c r="C51" s="134" t="s">
        <v>80</v>
      </c>
      <c r="D51" s="247">
        <f>D31*HLOOKUP($A51,'Model Org Stats'!$E$6:$CO$38,21, FALSE)</f>
        <v>2300672.5750000016</v>
      </c>
      <c r="E51" s="247">
        <f>E31*HLOOKUP($A51,'Model Org Stats'!$E$6:$CO$38,21, FALSE)</f>
        <v>18980548.743750013</v>
      </c>
      <c r="F51" s="247">
        <f>F31*HLOOKUP($A51,'Model Org Stats'!$E$6:$CO$38,21, FALSE)</f>
        <v>27416348.185416687</v>
      </c>
      <c r="G51" s="247">
        <f>G31*HLOOKUP($A51,'Model Org Stats'!$E$6:$CO$38,21, FALSE)</f>
        <v>16104708.025000012</v>
      </c>
      <c r="H51" s="247">
        <f>H31*HLOOKUP($A51,'Model Org Stats'!$E$6:$CO$38,21, FALSE)</f>
        <v>28183239.043750018</v>
      </c>
      <c r="I51" s="248">
        <f t="shared" si="4"/>
        <v>92985516.572916746</v>
      </c>
    </row>
    <row r="52" spans="1:9" x14ac:dyDescent="0.2">
      <c r="A52" s="134" t="str">
        <f t="shared" si="3"/>
        <v>Local: Investigative</v>
      </c>
      <c r="C52" s="134" t="s">
        <v>81</v>
      </c>
      <c r="D52" s="247">
        <f>D32*HLOOKUP($A52,'Model Org Stats'!$E$6:$CO$38,21, FALSE)</f>
        <v>1583434.3909090902</v>
      </c>
      <c r="E52" s="247">
        <f>E32*HLOOKUP($A52,'Model Org Stats'!$E$6:$CO$38,21, FALSE)</f>
        <v>5542020.3681818154</v>
      </c>
      <c r="F52" s="247">
        <f>F32*HLOOKUP($A52,'Model Org Stats'!$E$6:$CO$38,21, FALSE)</f>
        <v>3694680.2454545437</v>
      </c>
      <c r="G52" s="247">
        <f>G32*HLOOKUP($A52,'Model Org Stats'!$E$6:$CO$38,21, FALSE)</f>
        <v>1319528.6590909085</v>
      </c>
      <c r="H52" s="247">
        <f>H32*HLOOKUP($A52,'Model Org Stats'!$E$6:$CO$38,21, FALSE)</f>
        <v>1055622.9272727268</v>
      </c>
      <c r="I52" s="248">
        <f t="shared" si="4"/>
        <v>13195286.590909086</v>
      </c>
    </row>
    <row r="53" spans="1:9" x14ac:dyDescent="0.2">
      <c r="A53" s="134" t="str">
        <f t="shared" si="3"/>
        <v>Local: Current News &amp; Events</v>
      </c>
      <c r="B53" s="137"/>
      <c r="C53" s="137" t="s">
        <v>82</v>
      </c>
      <c r="D53" s="329">
        <f>D33*HLOOKUP($A53,'Model Org Stats'!$E$6:$CO$38,21, FALSE)</f>
        <v>524422474.36687487</v>
      </c>
      <c r="E53" s="329">
        <f>E33*HLOOKUP($A53,'Model Org Stats'!$E$6:$CO$38,21, FALSE)</f>
        <v>3076748685.2287493</v>
      </c>
      <c r="F53" s="329">
        <f>F33*HLOOKUP($A53,'Model Org Stats'!$E$6:$CO$38,21, FALSE)</f>
        <v>2897665080.9684367</v>
      </c>
      <c r="G53" s="329">
        <f>G33*HLOOKUP($A53,'Model Org Stats'!$E$6:$CO$38,21, FALSE)</f>
        <v>2262405762.704062</v>
      </c>
      <c r="H53" s="329">
        <f>H33*HLOOKUP($A53,'Model Org Stats'!$E$6:$CO$38,21, FALSE)</f>
        <v>1465509380.4224997</v>
      </c>
      <c r="I53" s="252">
        <f t="shared" si="4"/>
        <v>10226751383.69062</v>
      </c>
    </row>
    <row r="54" spans="1:9" x14ac:dyDescent="0.2">
      <c r="A54" s="134" t="str">
        <f t="shared" si="3"/>
        <v>State: General</v>
      </c>
      <c r="B54" s="134" t="s">
        <v>83</v>
      </c>
      <c r="C54" s="134" t="s">
        <v>77</v>
      </c>
      <c r="D54" s="247">
        <f>D34*HLOOKUP($A54,'Model Org Stats'!$E$6:$CO$38,21, FALSE)</f>
        <v>12506676.404999996</v>
      </c>
      <c r="E54" s="247">
        <f>E34*HLOOKUP($A54,'Model Org Stats'!$E$6:$CO$38,21, FALSE)</f>
        <v>43773367.417499982</v>
      </c>
      <c r="F54" s="247">
        <f>F34*HLOOKUP($A54,'Model Org Stats'!$E$6:$CO$38,21, FALSE)</f>
        <v>29182244.944999989</v>
      </c>
      <c r="G54" s="247">
        <f>G34*HLOOKUP($A54,'Model Org Stats'!$E$6:$CO$38,21, FALSE)</f>
        <v>10422230.337499997</v>
      </c>
      <c r="H54" s="247">
        <f>H34*HLOOKUP($A54,'Model Org Stats'!$E$6:$CO$38,21, FALSE)</f>
        <v>8337784.2699999977</v>
      </c>
      <c r="I54" s="307">
        <f>SUM(D54:H54)</f>
        <v>104222303.37499996</v>
      </c>
    </row>
    <row r="55" spans="1:9" x14ac:dyDescent="0.2">
      <c r="A55" s="134" t="str">
        <f t="shared" si="3"/>
        <v>State: Multiple Related Topics</v>
      </c>
      <c r="C55" s="134" t="s">
        <v>78</v>
      </c>
      <c r="D55" s="247">
        <f>D35*HLOOKUP($A55,'Model Org Stats'!$E$6:$CO$38,21, FALSE)</f>
        <v>48945225.674476624</v>
      </c>
      <c r="E55" s="247">
        <f>E35*HLOOKUP($A55,'Model Org Stats'!$E$6:$CO$38,21, FALSE)</f>
        <v>549260374.42727911</v>
      </c>
      <c r="F55" s="247">
        <f>F35*HLOOKUP($A55,'Model Org Stats'!$E$6:$CO$38,21, FALSE)</f>
        <v>920393970.73114622</v>
      </c>
      <c r="G55" s="247">
        <f>G35*HLOOKUP($A55,'Model Org Stats'!$E$6:$CO$38,21, FALSE)</f>
        <v>552617213.87647831</v>
      </c>
      <c r="H55" s="247">
        <f>H35*HLOOKUP($A55,'Model Org Stats'!$E$6:$CO$38,21, FALSE)</f>
        <v>1033431456.8834481</v>
      </c>
      <c r="I55" s="307">
        <f t="shared" ref="I55:I62" si="5">SUM(D55:H55)</f>
        <v>3104648241.5928283</v>
      </c>
    </row>
    <row r="56" spans="1:9" x14ac:dyDescent="0.2">
      <c r="A56" s="134" t="str">
        <f t="shared" si="3"/>
        <v>State: Single-Topic</v>
      </c>
      <c r="C56" s="134" t="s">
        <v>79</v>
      </c>
      <c r="D56" s="247">
        <f>D36*HLOOKUP($A56,'Model Org Stats'!$E$6:$CO$38,21, FALSE)</f>
        <v>3397980.75</v>
      </c>
      <c r="E56" s="247">
        <f>E36*HLOOKUP($A56,'Model Org Stats'!$E$6:$CO$38,21, FALSE)</f>
        <v>11892932.625</v>
      </c>
      <c r="F56" s="247">
        <f>F36*HLOOKUP($A56,'Model Org Stats'!$E$6:$CO$38,21, FALSE)</f>
        <v>7928621.75</v>
      </c>
      <c r="G56" s="247">
        <f>G36*HLOOKUP($A56,'Model Org Stats'!$E$6:$CO$38,21, FALSE)</f>
        <v>2831650.625</v>
      </c>
      <c r="H56" s="247">
        <f>H36*HLOOKUP($A56,'Model Org Stats'!$E$6:$CO$38,21, FALSE)</f>
        <v>2265320.5</v>
      </c>
      <c r="I56" s="307">
        <f t="shared" si="5"/>
        <v>28316506.25</v>
      </c>
    </row>
    <row r="57" spans="1:9" x14ac:dyDescent="0.2">
      <c r="A57" s="134" t="str">
        <f t="shared" si="3"/>
        <v>State: Explanatory &amp; Analysis</v>
      </c>
      <c r="C57" s="134" t="s">
        <v>80</v>
      </c>
      <c r="D57" s="247">
        <f>D37*HLOOKUP($A57,'Model Org Stats'!$E$6:$CO$38,21, FALSE)</f>
        <v>13177671.760000005</v>
      </c>
      <c r="E57" s="247">
        <f>E37*HLOOKUP($A57,'Model Org Stats'!$E$6:$CO$38,21, FALSE)</f>
        <v>46121851.160000019</v>
      </c>
      <c r="F57" s="247">
        <f>F37*HLOOKUP($A57,'Model Org Stats'!$E$6:$CO$38,21, FALSE)</f>
        <v>30747900.773333345</v>
      </c>
      <c r="G57" s="247">
        <f>G37*HLOOKUP($A57,'Model Org Stats'!$E$6:$CO$38,21, FALSE)</f>
        <v>10981393.133333337</v>
      </c>
      <c r="H57" s="247">
        <f>H37*HLOOKUP($A57,'Model Org Stats'!$E$6:$CO$38,21, FALSE)</f>
        <v>8785114.5066666696</v>
      </c>
      <c r="I57" s="307">
        <f t="shared" si="5"/>
        <v>109813931.33333339</v>
      </c>
    </row>
    <row r="58" spans="1:9" x14ac:dyDescent="0.2">
      <c r="A58" s="134" t="str">
        <f t="shared" si="3"/>
        <v>State: Investigative</v>
      </c>
      <c r="C58" s="134" t="s">
        <v>81</v>
      </c>
      <c r="D58" s="247">
        <f>D38*HLOOKUP($A58,'Model Org Stats'!$E$6:$CO$38,21, FALSE)</f>
        <v>17329617.243000001</v>
      </c>
      <c r="E58" s="247">
        <f>E38*HLOOKUP($A58,'Model Org Stats'!$E$6:$CO$38,21, FALSE)</f>
        <v>60653660.35050001</v>
      </c>
      <c r="F58" s="247">
        <f>F38*HLOOKUP($A58,'Model Org Stats'!$E$6:$CO$38,21, FALSE)</f>
        <v>40435773.567000002</v>
      </c>
      <c r="G58" s="247">
        <f>G38*HLOOKUP($A58,'Model Org Stats'!$E$6:$CO$38,21, FALSE)</f>
        <v>14441347.702500002</v>
      </c>
      <c r="H58" s="247">
        <f>H38*HLOOKUP($A58,'Model Org Stats'!$E$6:$CO$38,21, FALSE)</f>
        <v>11553078.162</v>
      </c>
      <c r="I58" s="307">
        <f t="shared" si="5"/>
        <v>144413477.02500004</v>
      </c>
    </row>
    <row r="59" spans="1:9" x14ac:dyDescent="0.2">
      <c r="A59" s="134" t="str">
        <f t="shared" si="3"/>
        <v>State: Current News &amp; Events</v>
      </c>
      <c r="B59" s="137"/>
      <c r="C59" s="137" t="s">
        <v>82</v>
      </c>
      <c r="D59" s="329">
        <f>D39*HLOOKUP($A59,'Model Org Stats'!$E$6:$CO$38,21, FALSE)</f>
        <v>8890046.415000001</v>
      </c>
      <c r="E59" s="329">
        <f>E39*HLOOKUP($A59,'Model Org Stats'!$E$6:$CO$38,21, FALSE)</f>
        <v>31115162.452500004</v>
      </c>
      <c r="F59" s="329">
        <f>F39*HLOOKUP($A59,'Model Org Stats'!$E$6:$CO$38,21, FALSE)</f>
        <v>20743441.635000005</v>
      </c>
      <c r="G59" s="329">
        <f>G39*HLOOKUP($A59,'Model Org Stats'!$E$6:$CO$38,21, FALSE)</f>
        <v>7408372.0125000011</v>
      </c>
      <c r="H59" s="329">
        <f>H39*HLOOKUP($A59,'Model Org Stats'!$E$6:$CO$38,21, FALSE)</f>
        <v>5926697.6100000013</v>
      </c>
      <c r="I59" s="252">
        <f t="shared" si="5"/>
        <v>74083720.125000015</v>
      </c>
    </row>
    <row r="60" spans="1:9" hidden="1" outlineLevel="1" x14ac:dyDescent="0.2">
      <c r="A60" s="134" t="str">
        <f t="shared" si="3"/>
        <v>Public Radio: Small</v>
      </c>
      <c r="B60" s="134" t="s">
        <v>84</v>
      </c>
      <c r="C60" s="134" t="s">
        <v>62</v>
      </c>
      <c r="D60" s="247">
        <f>D40*HLOOKUP($A60,'Model Org Stats'!$E$6:$CO$38,21, FALSE)</f>
        <v>0</v>
      </c>
      <c r="E60" s="247">
        <f>E40*HLOOKUP($A60,'Model Org Stats'!$E$6:$CO$38,21, FALSE)</f>
        <v>0</v>
      </c>
      <c r="F60" s="247">
        <f>F40*HLOOKUP($A60,'Model Org Stats'!$E$6:$CO$38,21, FALSE)</f>
        <v>0</v>
      </c>
      <c r="G60" s="247">
        <f>G40*HLOOKUP($A60,'Model Org Stats'!$E$6:$CO$38,21, FALSE)</f>
        <v>0</v>
      </c>
      <c r="H60" s="247">
        <f>H40*HLOOKUP($A60,'Model Org Stats'!$E$6:$CO$38,21, FALSE)</f>
        <v>0</v>
      </c>
      <c r="I60" s="307">
        <f t="shared" si="5"/>
        <v>0</v>
      </c>
    </row>
    <row r="61" spans="1:9" hidden="1" outlineLevel="1" x14ac:dyDescent="0.2">
      <c r="A61" s="134" t="str">
        <f>A41</f>
        <v>Public Radio: Medium</v>
      </c>
      <c r="C61" s="134" t="s">
        <v>63</v>
      </c>
      <c r="D61" s="247">
        <f>D41*HLOOKUP($A61,'Model Org Stats'!$E$6:$CO$38,21, FALSE)</f>
        <v>0</v>
      </c>
      <c r="E61" s="247">
        <f>E41*HLOOKUP($A61,'Model Org Stats'!$E$6:$CO$38,21, FALSE)</f>
        <v>0</v>
      </c>
      <c r="F61" s="247">
        <f>F41*HLOOKUP($A61,'Model Org Stats'!$E$6:$CO$38,21, FALSE)</f>
        <v>0</v>
      </c>
      <c r="G61" s="247">
        <f>G41*HLOOKUP($A61,'Model Org Stats'!$E$6:$CO$38,21, FALSE)</f>
        <v>0</v>
      </c>
      <c r="H61" s="247">
        <f>H41*HLOOKUP($A61,'Model Org Stats'!$E$6:$CO$38,21, FALSE)</f>
        <v>0</v>
      </c>
      <c r="I61" s="307">
        <f t="shared" si="5"/>
        <v>0</v>
      </c>
    </row>
    <row r="62" spans="1:9" hidden="1" outlineLevel="1" x14ac:dyDescent="0.2">
      <c r="A62" s="134" t="str">
        <f t="shared" si="3"/>
        <v>Public Radio: Large</v>
      </c>
      <c r="B62" s="137"/>
      <c r="C62" s="137" t="s">
        <v>64</v>
      </c>
      <c r="D62" s="329">
        <f>D42*HLOOKUP($A62,'Model Org Stats'!$E$6:$CO$38,21, FALSE)</f>
        <v>0</v>
      </c>
      <c r="E62" s="329">
        <f>E42*HLOOKUP($A62,'Model Org Stats'!$E$6:$CO$38,21, FALSE)</f>
        <v>0</v>
      </c>
      <c r="F62" s="329">
        <f>F42*HLOOKUP($A62,'Model Org Stats'!$E$6:$CO$38,21, FALSE)</f>
        <v>0</v>
      </c>
      <c r="G62" s="329">
        <f>G42*HLOOKUP($A62,'Model Org Stats'!$E$6:$CO$38,21, FALSE)</f>
        <v>0</v>
      </c>
      <c r="H62" s="329">
        <f>H42*HLOOKUP($A62,'Model Org Stats'!$E$6:$CO$38,21, FALSE)</f>
        <v>0</v>
      </c>
      <c r="I62" s="252">
        <f t="shared" si="5"/>
        <v>0</v>
      </c>
    </row>
    <row r="63" spans="1:9" s="170" customFormat="1" collapsed="1" x14ac:dyDescent="0.2">
      <c r="C63" s="248" t="s">
        <v>60</v>
      </c>
      <c r="D63" s="209">
        <f>SUM(D47:D62)</f>
        <v>1130576001.1065352</v>
      </c>
      <c r="E63" s="209">
        <f t="shared" ref="E63:H63" si="6">SUM(E47:E62)</f>
        <v>6674198726.5242729</v>
      </c>
      <c r="F63" s="209">
        <f t="shared" si="6"/>
        <v>6718955600.9234209</v>
      </c>
      <c r="G63" s="209">
        <f t="shared" si="6"/>
        <v>4792449288.1408997</v>
      </c>
      <c r="H63" s="209">
        <f t="shared" si="6"/>
        <v>4132101433.3397555</v>
      </c>
      <c r="I63" s="209">
        <f>SUM(I47:I62)</f>
        <v>23448281050.034878</v>
      </c>
    </row>
    <row r="65" spans="1:9" x14ac:dyDescent="0.2">
      <c r="B65" s="140" t="s">
        <v>68</v>
      </c>
      <c r="C65" s="140"/>
      <c r="D65" s="140"/>
      <c r="E65" s="140"/>
      <c r="F65" s="140"/>
      <c r="G65" s="140"/>
      <c r="H65" s="140"/>
      <c r="I65" s="140"/>
    </row>
    <row r="66" spans="1:9" x14ac:dyDescent="0.2">
      <c r="B66" s="147" t="s">
        <v>74</v>
      </c>
      <c r="C66" s="147" t="s">
        <v>86</v>
      </c>
      <c r="D66" s="147" t="s">
        <v>61</v>
      </c>
      <c r="E66" s="147" t="s">
        <v>62</v>
      </c>
      <c r="F66" s="147" t="s">
        <v>63</v>
      </c>
      <c r="G66" s="147" t="s">
        <v>64</v>
      </c>
      <c r="H66" s="147" t="s">
        <v>65</v>
      </c>
      <c r="I66" s="147" t="s">
        <v>60</v>
      </c>
    </row>
    <row r="67" spans="1:9" x14ac:dyDescent="0.2">
      <c r="A67" s="134" t="str">
        <f t="shared" ref="A67:A82" si="7">A47</f>
        <v>Hyper-local: General</v>
      </c>
      <c r="B67" s="137" t="s">
        <v>76</v>
      </c>
      <c r="C67" s="137" t="s">
        <v>77</v>
      </c>
      <c r="D67" s="181">
        <f>D27*HLOOKUP($A67,'Model Org Stats'!$E$6:$CO$38,22, FALSE)</f>
        <v>151680</v>
      </c>
      <c r="E67" s="181">
        <f>E27*HLOOKUP($A67,'Model Org Stats'!$E$6:$CO$38,22, FALSE)</f>
        <v>1971840</v>
      </c>
      <c r="F67" s="181">
        <f>F27*HLOOKUP($A67,'Model Org Stats'!$E$6:$CO$38,22, FALSE)</f>
        <v>6522240</v>
      </c>
      <c r="G67" s="181">
        <f>G27*HLOOKUP($A67,'Model Org Stats'!$E$6:$CO$38,22, FALSE)</f>
        <v>5991360</v>
      </c>
      <c r="H67" s="181">
        <f>H27*HLOOKUP($A67,'Model Org Stats'!$E$6:$CO$38,22, FALSE)</f>
        <v>14460160</v>
      </c>
      <c r="I67" s="252">
        <f>SUM(D67:H67)</f>
        <v>29097280</v>
      </c>
    </row>
    <row r="68" spans="1:9" x14ac:dyDescent="0.2">
      <c r="A68" s="134" t="str">
        <f t="shared" si="7"/>
        <v>Local: General</v>
      </c>
      <c r="B68" s="134" t="s">
        <v>7</v>
      </c>
      <c r="C68" s="134" t="s">
        <v>77</v>
      </c>
      <c r="D68" s="170">
        <f>D28*HLOOKUP($A68,'Model Org Stats'!$E$6:$CO$38,22, FALSE)</f>
        <v>43714763.628235348</v>
      </c>
      <c r="E68" s="170">
        <f>E28*HLOOKUP($A68,'Model Org Stats'!$E$6:$CO$38,22, FALSE)</f>
        <v>268820672.88627487</v>
      </c>
      <c r="F68" s="170">
        <f>F28*HLOOKUP($A68,'Model Org Stats'!$E$6:$CO$38,22, FALSE)</f>
        <v>212292961.2980395</v>
      </c>
      <c r="G68" s="170">
        <f>G28*HLOOKUP($A68,'Model Org Stats'!$E$6:$CO$38,22, FALSE)</f>
        <v>127627011.05254918</v>
      </c>
      <c r="H68" s="170">
        <f>H28*HLOOKUP($A68,'Model Org Stats'!$E$6:$CO$38,22, FALSE)</f>
        <v>109035674.79686289</v>
      </c>
      <c r="I68" s="248">
        <f>SUM(D68:H68)</f>
        <v>761491083.66196179</v>
      </c>
    </row>
    <row r="69" spans="1:9" x14ac:dyDescent="0.2">
      <c r="A69" s="134" t="str">
        <f t="shared" si="7"/>
        <v>Local: Multiple Related Topics</v>
      </c>
      <c r="C69" s="134" t="s">
        <v>78</v>
      </c>
      <c r="D69" s="170">
        <f>D29*HLOOKUP($A69,'Model Org Stats'!$E$6:$CO$38,22, FALSE)</f>
        <v>199551237.31333327</v>
      </c>
      <c r="E69" s="170">
        <f>E29*HLOOKUP($A69,'Model Org Stats'!$E$6:$CO$38,22, FALSE)</f>
        <v>1170752660.4019043</v>
      </c>
      <c r="F69" s="170">
        <f>F29*HLOOKUP($A69,'Model Org Stats'!$E$6:$CO$38,22, FALSE)</f>
        <v>1102608451.1823807</v>
      </c>
      <c r="G69" s="170">
        <f>G29*HLOOKUP($A69,'Model Org Stats'!$E$6:$CO$38,22, FALSE)</f>
        <v>860882001.28619027</v>
      </c>
      <c r="H69" s="170">
        <f>H29*HLOOKUP($A69,'Model Org Stats'!$E$6:$CO$38,22, FALSE)</f>
        <v>557650033.03999984</v>
      </c>
      <c r="I69" s="248">
        <f t="shared" ref="I69:I73" si="8">SUM(D69:H69)</f>
        <v>3891444383.2238083</v>
      </c>
    </row>
    <row r="70" spans="1:9" x14ac:dyDescent="0.2">
      <c r="A70" s="134" t="str">
        <f t="shared" si="7"/>
        <v>Local: Single-Topic</v>
      </c>
      <c r="C70" s="134" t="s">
        <v>79</v>
      </c>
      <c r="D70" s="170">
        <f>D30*HLOOKUP($A70,'Model Org Stats'!$E$6:$CO$38,22, FALSE)</f>
        <v>110665051.84166668</v>
      </c>
      <c r="E70" s="170">
        <f>E30*HLOOKUP($A70,'Model Org Stats'!$E$6:$CO$38,22, FALSE)</f>
        <v>562935250.14166677</v>
      </c>
      <c r="F70" s="170">
        <f>F30*HLOOKUP($A70,'Model Org Stats'!$E$6:$CO$38,22, FALSE)</f>
        <v>631106123.32500017</v>
      </c>
      <c r="G70" s="170">
        <f>G30*HLOOKUP($A70,'Model Org Stats'!$E$6:$CO$38,22, FALSE)</f>
        <v>363377782.16666675</v>
      </c>
      <c r="H70" s="170">
        <f>H30*HLOOKUP($A70,'Model Org Stats'!$E$6:$CO$38,22, FALSE)</f>
        <v>443260831.80000007</v>
      </c>
      <c r="I70" s="248">
        <f t="shared" si="8"/>
        <v>2111345039.2750006</v>
      </c>
    </row>
    <row r="71" spans="1:9" x14ac:dyDescent="0.2">
      <c r="A71" s="134" t="str">
        <f t="shared" si="7"/>
        <v>Local: Explanatory &amp; Analysis</v>
      </c>
      <c r="C71" s="134" t="s">
        <v>80</v>
      </c>
      <c r="D71" s="170">
        <f>D31*HLOOKUP($A71,'Model Org Stats'!$E$6:$CO$38,22, FALSE)</f>
        <v>1508654.7700000003</v>
      </c>
      <c r="E71" s="170">
        <f>E31*HLOOKUP($A71,'Model Org Stats'!$E$6:$CO$38,22, FALSE)</f>
        <v>12446401.852500001</v>
      </c>
      <c r="F71" s="170">
        <f>F31*HLOOKUP($A71,'Model Org Stats'!$E$6:$CO$38,22, FALSE)</f>
        <v>17978136.009166669</v>
      </c>
      <c r="G71" s="170">
        <f>G31*HLOOKUP($A71,'Model Org Stats'!$E$6:$CO$38,22, FALSE)</f>
        <v>10560583.390000001</v>
      </c>
      <c r="H71" s="170">
        <f>H31*HLOOKUP($A71,'Model Org Stats'!$E$6:$CO$38,22, FALSE)</f>
        <v>18481020.932500001</v>
      </c>
      <c r="I71" s="248">
        <f t="shared" si="8"/>
        <v>60974796.954166666</v>
      </c>
    </row>
    <row r="72" spans="1:9" x14ac:dyDescent="0.2">
      <c r="A72" s="134" t="str">
        <f t="shared" si="7"/>
        <v>Local: Investigative</v>
      </c>
      <c r="C72" s="134" t="s">
        <v>81</v>
      </c>
      <c r="D72" s="170">
        <f>D32*HLOOKUP($A72,'Model Org Stats'!$E$6:$CO$38,22, FALSE)</f>
        <v>742633.93909090932</v>
      </c>
      <c r="E72" s="170">
        <f>E32*HLOOKUP($A72,'Model Org Stats'!$E$6:$CO$38,22, FALSE)</f>
        <v>2599218.7868181826</v>
      </c>
      <c r="F72" s="170">
        <f>F32*HLOOKUP($A72,'Model Org Stats'!$E$6:$CO$38,22, FALSE)</f>
        <v>1732812.5245454551</v>
      </c>
      <c r="G72" s="170">
        <f>G32*HLOOKUP($A72,'Model Org Stats'!$E$6:$CO$38,22, FALSE)</f>
        <v>618861.61590909108</v>
      </c>
      <c r="H72" s="170">
        <f>H32*HLOOKUP($A72,'Model Org Stats'!$E$6:$CO$38,22, FALSE)</f>
        <v>495089.2927272729</v>
      </c>
      <c r="I72" s="248">
        <f t="shared" si="8"/>
        <v>6188616.159090911</v>
      </c>
    </row>
    <row r="73" spans="1:9" x14ac:dyDescent="0.2">
      <c r="A73" s="134" t="str">
        <f t="shared" si="7"/>
        <v>Local: Current News &amp; Events</v>
      </c>
      <c r="B73" s="137"/>
      <c r="C73" s="137" t="s">
        <v>82</v>
      </c>
      <c r="D73" s="181">
        <f>D33*HLOOKUP($A73,'Model Org Stats'!$E$6:$CO$38,22, FALSE)</f>
        <v>385611837.20937526</v>
      </c>
      <c r="E73" s="181">
        <f>E33*HLOOKUP($A73,'Model Org Stats'!$E$6:$CO$38,22, FALSE)</f>
        <v>2262356727.8937516</v>
      </c>
      <c r="F73" s="181">
        <f>F33*HLOOKUP($A73,'Model Org Stats'!$E$6:$CO$38,22, FALSE)</f>
        <v>2130675190.5296891</v>
      </c>
      <c r="G73" s="181">
        <f>G33*HLOOKUP($A73,'Model Org Stats'!$E$6:$CO$38,22, FALSE)</f>
        <v>1663564178.3328137</v>
      </c>
      <c r="H73" s="181">
        <f>H33*HLOOKUP($A73,'Model Org Stats'!$E$6:$CO$38,22, FALSE)</f>
        <v>1077600202.6125009</v>
      </c>
      <c r="I73" s="252">
        <f t="shared" si="8"/>
        <v>7519808136.5781307</v>
      </c>
    </row>
    <row r="74" spans="1:9" x14ac:dyDescent="0.2">
      <c r="A74" s="134" t="str">
        <f t="shared" si="7"/>
        <v>State: General</v>
      </c>
      <c r="B74" s="134" t="s">
        <v>83</v>
      </c>
      <c r="C74" s="134" t="s">
        <v>77</v>
      </c>
      <c r="D74" s="170">
        <f>D34*HLOOKUP($A74,'Model Org Stats'!$E$6:$CO$38,22, FALSE)</f>
        <v>7109012.5919999983</v>
      </c>
      <c r="E74" s="170">
        <f>E34*HLOOKUP($A74,'Model Org Stats'!$E$6:$CO$38,22, FALSE)</f>
        <v>24881544.071999993</v>
      </c>
      <c r="F74" s="170">
        <f>F34*HLOOKUP($A74,'Model Org Stats'!$E$6:$CO$38,22, FALSE)</f>
        <v>16587696.047999997</v>
      </c>
      <c r="G74" s="170">
        <f>G34*HLOOKUP($A74,'Model Org Stats'!$E$6:$CO$38,22, FALSE)</f>
        <v>5924177.1599999983</v>
      </c>
      <c r="H74" s="170">
        <f>H34*HLOOKUP($A74,'Model Org Stats'!$E$6:$CO$38,22, FALSE)</f>
        <v>4739341.7279999992</v>
      </c>
      <c r="I74" s="307">
        <f t="shared" ref="I74:I82" si="9">SUM(D74:H74)</f>
        <v>59241771.599999979</v>
      </c>
    </row>
    <row r="75" spans="1:9" x14ac:dyDescent="0.2">
      <c r="A75" s="134" t="str">
        <f t="shared" si="7"/>
        <v>State: Multiple Related Topics</v>
      </c>
      <c r="C75" s="134" t="s">
        <v>78</v>
      </c>
      <c r="D75" s="170">
        <f>D35*HLOOKUP($A75,'Model Org Stats'!$E$6:$CO$38,22, FALSE)</f>
        <v>33331269.068016246</v>
      </c>
      <c r="E75" s="170">
        <f>E35*HLOOKUP($A75,'Model Org Stats'!$E$6:$CO$38,22, FALSE)</f>
        <v>374041493.85670918</v>
      </c>
      <c r="F75" s="170">
        <f>F35*HLOOKUP($A75,'Model Org Stats'!$E$6:$CO$38,22, FALSE)</f>
        <v>626780215.31765556</v>
      </c>
      <c r="G75" s="170">
        <f>G35*HLOOKUP($A75,'Model Org Stats'!$E$6:$CO$38,22, FALSE)</f>
        <v>376327472.05698401</v>
      </c>
      <c r="H75" s="170">
        <f>H35*HLOOKUP($A75,'Model Org Stats'!$E$6:$CO$38,22, FALSE)</f>
        <v>703757751.20179939</v>
      </c>
      <c r="I75" s="307">
        <f t="shared" si="9"/>
        <v>2114238201.5011644</v>
      </c>
    </row>
    <row r="76" spans="1:9" x14ac:dyDescent="0.2">
      <c r="A76" s="134" t="str">
        <f t="shared" si="7"/>
        <v>State: Single-Topic</v>
      </c>
      <c r="C76" s="134" t="s">
        <v>79</v>
      </c>
      <c r="D76" s="170">
        <f>D36*HLOOKUP($A76,'Model Org Stats'!$E$6:$CO$38,22, FALSE)</f>
        <v>1203357</v>
      </c>
      <c r="E76" s="170">
        <f>E36*HLOOKUP($A76,'Model Org Stats'!$E$6:$CO$38,22, FALSE)</f>
        <v>4211749.5</v>
      </c>
      <c r="F76" s="170">
        <f>F36*HLOOKUP($A76,'Model Org Stats'!$E$6:$CO$38,22, FALSE)</f>
        <v>2807833</v>
      </c>
      <c r="G76" s="170">
        <f>G36*HLOOKUP($A76,'Model Org Stats'!$E$6:$CO$38,22, FALSE)</f>
        <v>1002797.5</v>
      </c>
      <c r="H76" s="170">
        <f>H36*HLOOKUP($A76,'Model Org Stats'!$E$6:$CO$38,22, FALSE)</f>
        <v>802238</v>
      </c>
      <c r="I76" s="307">
        <f t="shared" si="9"/>
        <v>10027975</v>
      </c>
    </row>
    <row r="77" spans="1:9" x14ac:dyDescent="0.2">
      <c r="A77" s="134" t="str">
        <f t="shared" si="7"/>
        <v>State: Explanatory &amp; Analysis</v>
      </c>
      <c r="C77" s="134" t="s">
        <v>80</v>
      </c>
      <c r="D77" s="170">
        <f>D37*HLOOKUP($A77,'Model Org Stats'!$E$6:$CO$38,22, FALSE)</f>
        <v>10417332.789473683</v>
      </c>
      <c r="E77" s="170">
        <f>E37*HLOOKUP($A77,'Model Org Stats'!$E$6:$CO$38,22, FALSE)</f>
        <v>36460664.763157889</v>
      </c>
      <c r="F77" s="170">
        <f>F37*HLOOKUP($A77,'Model Org Stats'!$E$6:$CO$38,22, FALSE)</f>
        <v>24307109.842105262</v>
      </c>
      <c r="G77" s="170">
        <f>G37*HLOOKUP($A77,'Model Org Stats'!$E$6:$CO$38,22, FALSE)</f>
        <v>8681110.6578947362</v>
      </c>
      <c r="H77" s="170">
        <f>H37*HLOOKUP($A77,'Model Org Stats'!$E$6:$CO$38,22, FALSE)</f>
        <v>6944888.5263157887</v>
      </c>
      <c r="I77" s="307">
        <f t="shared" si="9"/>
        <v>86811106.57894735</v>
      </c>
    </row>
    <row r="78" spans="1:9" x14ac:dyDescent="0.2">
      <c r="A78" s="134" t="str">
        <f t="shared" si="7"/>
        <v>State: Investigative</v>
      </c>
      <c r="C78" s="134" t="s">
        <v>81</v>
      </c>
      <c r="D78" s="170">
        <f>D38*HLOOKUP($A78,'Model Org Stats'!$E$6:$CO$38,22, FALSE)</f>
        <v>6501272.9849999957</v>
      </c>
      <c r="E78" s="170">
        <f>E38*HLOOKUP($A78,'Model Org Stats'!$E$6:$CO$38,22, FALSE)</f>
        <v>22754455.447499987</v>
      </c>
      <c r="F78" s="170">
        <f>F38*HLOOKUP($A78,'Model Org Stats'!$E$6:$CO$38,22, FALSE)</f>
        <v>15169636.964999991</v>
      </c>
      <c r="G78" s="170">
        <f>G38*HLOOKUP($A78,'Model Org Stats'!$E$6:$CO$38,22, FALSE)</f>
        <v>5417727.487499997</v>
      </c>
      <c r="H78" s="170">
        <f>H38*HLOOKUP($A78,'Model Org Stats'!$E$6:$CO$38,22, FALSE)</f>
        <v>4334181.9899999974</v>
      </c>
      <c r="I78" s="307">
        <f t="shared" si="9"/>
        <v>54177274.874999963</v>
      </c>
    </row>
    <row r="79" spans="1:9" x14ac:dyDescent="0.2">
      <c r="A79" s="134" t="str">
        <f t="shared" si="7"/>
        <v>State: Current News &amp; Events</v>
      </c>
      <c r="B79" s="137"/>
      <c r="C79" s="137" t="s">
        <v>82</v>
      </c>
      <c r="D79" s="181">
        <f>D39*HLOOKUP($A79,'Model Org Stats'!$E$6:$CO$38,22, FALSE)</f>
        <v>7119513.8550000023</v>
      </c>
      <c r="E79" s="181">
        <f>E39*HLOOKUP($A79,'Model Org Stats'!$E$6:$CO$38,22, FALSE)</f>
        <v>24918298.492500007</v>
      </c>
      <c r="F79" s="181">
        <f>F39*HLOOKUP($A79,'Model Org Stats'!$E$6:$CO$38,22, FALSE)</f>
        <v>16612198.995000005</v>
      </c>
      <c r="G79" s="181">
        <f>G39*HLOOKUP($A79,'Model Org Stats'!$E$6:$CO$38,22, FALSE)</f>
        <v>5932928.2125000013</v>
      </c>
      <c r="H79" s="181">
        <f>H39*HLOOKUP($A79,'Model Org Stats'!$E$6:$CO$38,22, FALSE)</f>
        <v>4746342.5700000012</v>
      </c>
      <c r="I79" s="252">
        <f t="shared" si="9"/>
        <v>59329282.125000015</v>
      </c>
    </row>
    <row r="80" spans="1:9" hidden="1" outlineLevel="1" x14ac:dyDescent="0.2">
      <c r="A80" s="134" t="str">
        <f t="shared" si="7"/>
        <v>Public Radio: Small</v>
      </c>
      <c r="B80" s="134" t="s">
        <v>84</v>
      </c>
      <c r="C80" s="134" t="s">
        <v>62</v>
      </c>
      <c r="D80" s="170">
        <f>D40*HLOOKUP($A80,'Model Org Stats'!$E$6:$CO$38,22, FALSE)</f>
        <v>0</v>
      </c>
      <c r="E80" s="170">
        <f>E40*HLOOKUP($A80,'Model Org Stats'!$E$6:$CO$38,22, FALSE)</f>
        <v>0</v>
      </c>
      <c r="F80" s="170">
        <f>F40*HLOOKUP($A80,'Model Org Stats'!$E$6:$CO$38,22, FALSE)</f>
        <v>0</v>
      </c>
      <c r="G80" s="170">
        <f>G40*HLOOKUP($A80,'Model Org Stats'!$E$6:$CO$38,22, FALSE)</f>
        <v>0</v>
      </c>
      <c r="H80" s="170">
        <f>H40*HLOOKUP($A80,'Model Org Stats'!$E$6:$CO$38,22, FALSE)</f>
        <v>0</v>
      </c>
      <c r="I80" s="307">
        <f t="shared" si="9"/>
        <v>0</v>
      </c>
    </row>
    <row r="81" spans="1:9" hidden="1" outlineLevel="1" x14ac:dyDescent="0.2">
      <c r="A81" s="134" t="str">
        <f t="shared" si="7"/>
        <v>Public Radio: Medium</v>
      </c>
      <c r="C81" s="134" t="s">
        <v>63</v>
      </c>
      <c r="D81" s="170">
        <f>D41*HLOOKUP($A81,'Model Org Stats'!$E$6:$CO$38,22, FALSE)</f>
        <v>0</v>
      </c>
      <c r="E81" s="170">
        <f>E41*HLOOKUP($A81,'Model Org Stats'!$E$6:$CO$38,22, FALSE)</f>
        <v>0</v>
      </c>
      <c r="F81" s="170">
        <f>F41*HLOOKUP($A81,'Model Org Stats'!$E$6:$CO$38,22, FALSE)</f>
        <v>0</v>
      </c>
      <c r="G81" s="170">
        <f>G41*HLOOKUP($A81,'Model Org Stats'!$E$6:$CO$38,22, FALSE)</f>
        <v>0</v>
      </c>
      <c r="H81" s="170">
        <f>H41*HLOOKUP($A81,'Model Org Stats'!$E$6:$CO$38,22, FALSE)</f>
        <v>0</v>
      </c>
      <c r="I81" s="307">
        <f t="shared" si="9"/>
        <v>0</v>
      </c>
    </row>
    <row r="82" spans="1:9" hidden="1" outlineLevel="1" x14ac:dyDescent="0.2">
      <c r="A82" s="134" t="str">
        <f t="shared" si="7"/>
        <v>Public Radio: Large</v>
      </c>
      <c r="B82" s="137"/>
      <c r="C82" s="137" t="s">
        <v>64</v>
      </c>
      <c r="D82" s="181">
        <f>D42*HLOOKUP($A82,'Model Org Stats'!$E$6:$CO$38,22, FALSE)</f>
        <v>0</v>
      </c>
      <c r="E82" s="181">
        <f>E42*HLOOKUP($A82,'Model Org Stats'!$E$6:$CO$38,22, FALSE)</f>
        <v>0</v>
      </c>
      <c r="F82" s="181">
        <f>F42*HLOOKUP($A82,'Model Org Stats'!$E$6:$CO$38,22, FALSE)</f>
        <v>0</v>
      </c>
      <c r="G82" s="181">
        <f>G42*HLOOKUP($A82,'Model Org Stats'!$E$6:$CO$38,22, FALSE)</f>
        <v>0</v>
      </c>
      <c r="H82" s="181">
        <f>H42*HLOOKUP($A82,'Model Org Stats'!$E$6:$CO$38,22, FALSE)</f>
        <v>0</v>
      </c>
      <c r="I82" s="252">
        <f t="shared" si="9"/>
        <v>0</v>
      </c>
    </row>
    <row r="83" spans="1:9" s="170" customFormat="1" collapsed="1" x14ac:dyDescent="0.2">
      <c r="C83" s="248" t="s">
        <v>60</v>
      </c>
      <c r="D83" s="248">
        <f>SUM(D67:D82)</f>
        <v>807627616.99119139</v>
      </c>
      <c r="E83" s="248">
        <f t="shared" ref="E83:I83" si="10">SUM(E67:E82)</f>
        <v>4769150978.0947828</v>
      </c>
      <c r="F83" s="248">
        <f t="shared" si="10"/>
        <v>4805180605.036582</v>
      </c>
      <c r="G83" s="248">
        <f t="shared" si="10"/>
        <v>3435907990.9190078</v>
      </c>
      <c r="H83" s="248">
        <f t="shared" si="10"/>
        <v>2946307756.490706</v>
      </c>
      <c r="I83" s="248">
        <f t="shared" si="10"/>
        <v>16764174947.53227</v>
      </c>
    </row>
    <row r="85" spans="1:9" x14ac:dyDescent="0.2">
      <c r="B85" s="140" t="s">
        <v>87</v>
      </c>
      <c r="C85" s="140"/>
      <c r="D85" s="140"/>
      <c r="E85" s="140"/>
      <c r="F85" s="140"/>
      <c r="G85" s="140"/>
      <c r="H85" s="140"/>
      <c r="I85" s="140"/>
    </row>
    <row r="86" spans="1:9" x14ac:dyDescent="0.2">
      <c r="B86" s="147" t="s">
        <v>74</v>
      </c>
      <c r="C86" s="147" t="s">
        <v>86</v>
      </c>
      <c r="D86" s="147" t="s">
        <v>61</v>
      </c>
      <c r="E86" s="147" t="s">
        <v>62</v>
      </c>
      <c r="F86" s="147" t="s">
        <v>63</v>
      </c>
      <c r="G86" s="147" t="s">
        <v>64</v>
      </c>
      <c r="H86" s="147" t="s">
        <v>65</v>
      </c>
      <c r="I86" s="147" t="s">
        <v>60</v>
      </c>
    </row>
    <row r="87" spans="1:9" x14ac:dyDescent="0.2">
      <c r="B87" s="137" t="s">
        <v>76</v>
      </c>
      <c r="C87" s="137" t="s">
        <v>77</v>
      </c>
      <c r="D87" s="250">
        <f t="shared" ref="D87:H96" si="11">D47+D67</f>
        <v>379200</v>
      </c>
      <c r="E87" s="250">
        <f t="shared" si="11"/>
        <v>4929600</v>
      </c>
      <c r="F87" s="250">
        <f t="shared" si="11"/>
        <v>16305600</v>
      </c>
      <c r="G87" s="250">
        <f t="shared" si="11"/>
        <v>14978400</v>
      </c>
      <c r="H87" s="250">
        <f t="shared" si="11"/>
        <v>36150400</v>
      </c>
      <c r="I87" s="252">
        <f>SUM(D87:H87)</f>
        <v>72743200</v>
      </c>
    </row>
    <row r="88" spans="1:9" x14ac:dyDescent="0.2">
      <c r="B88" s="134" t="s">
        <v>7</v>
      </c>
      <c r="C88" s="134" t="s">
        <v>77</v>
      </c>
      <c r="D88" s="191">
        <f t="shared" si="11"/>
        <v>111176353.78117657</v>
      </c>
      <c r="E88" s="191">
        <f t="shared" si="11"/>
        <v>683670681.29803979</v>
      </c>
      <c r="F88" s="191">
        <f t="shared" si="11"/>
        <v>539908154.85686326</v>
      </c>
      <c r="G88" s="191">
        <f t="shared" si="11"/>
        <v>324583837.47607875</v>
      </c>
      <c r="H88" s="191">
        <f t="shared" si="11"/>
        <v>277301939.8909806</v>
      </c>
      <c r="I88" s="248">
        <f>SUM(D88:H88)</f>
        <v>1936640967.3031387</v>
      </c>
    </row>
    <row r="89" spans="1:9" x14ac:dyDescent="0.2">
      <c r="C89" s="134" t="s">
        <v>78</v>
      </c>
      <c r="D89" s="191">
        <f t="shared" si="11"/>
        <v>485758819.68666661</v>
      </c>
      <c r="E89" s="191">
        <f t="shared" si="11"/>
        <v>2849911822.740952</v>
      </c>
      <c r="F89" s="191">
        <f t="shared" si="11"/>
        <v>2684031364.7461901</v>
      </c>
      <c r="G89" s="191">
        <f t="shared" si="11"/>
        <v>2095607275.9280951</v>
      </c>
      <c r="H89" s="191">
        <f t="shared" si="11"/>
        <v>1357463002.96</v>
      </c>
      <c r="I89" s="248">
        <f t="shared" ref="I89:I93" si="12">SUM(D89:H89)</f>
        <v>9472772286.0619049</v>
      </c>
    </row>
    <row r="90" spans="1:9" x14ac:dyDescent="0.2">
      <c r="C90" s="134" t="s">
        <v>79</v>
      </c>
      <c r="D90" s="191">
        <f t="shared" si="11"/>
        <v>254790560.8416667</v>
      </c>
      <c r="E90" s="191">
        <f t="shared" si="11"/>
        <v>1296078443.1416669</v>
      </c>
      <c r="F90" s="191">
        <f t="shared" si="11"/>
        <v>1453032194.3250003</v>
      </c>
      <c r="G90" s="191">
        <f t="shared" si="11"/>
        <v>836625722.16666675</v>
      </c>
      <c r="H90" s="191">
        <f t="shared" si="11"/>
        <v>1020545095.8000001</v>
      </c>
      <c r="I90" s="248">
        <f t="shared" si="12"/>
        <v>4861072016.2750006</v>
      </c>
    </row>
    <row r="91" spans="1:9" x14ac:dyDescent="0.2">
      <c r="C91" s="134" t="s">
        <v>80</v>
      </c>
      <c r="D91" s="191">
        <f t="shared" si="11"/>
        <v>3809327.3450000016</v>
      </c>
      <c r="E91" s="191">
        <f t="shared" si="11"/>
        <v>31426950.596250013</v>
      </c>
      <c r="F91" s="191">
        <f t="shared" si="11"/>
        <v>45394484.194583356</v>
      </c>
      <c r="G91" s="191">
        <f t="shared" si="11"/>
        <v>26665291.415000014</v>
      </c>
      <c r="H91" s="191">
        <f t="shared" si="11"/>
        <v>46664259.976250023</v>
      </c>
      <c r="I91" s="248">
        <f t="shared" si="12"/>
        <v>153960313.5270834</v>
      </c>
    </row>
    <row r="92" spans="1:9" x14ac:dyDescent="0.2">
      <c r="C92" s="134" t="s">
        <v>81</v>
      </c>
      <c r="D92" s="191">
        <f t="shared" si="11"/>
        <v>2326068.3299999996</v>
      </c>
      <c r="E92" s="191">
        <f t="shared" si="11"/>
        <v>8141239.1549999975</v>
      </c>
      <c r="F92" s="191">
        <f t="shared" si="11"/>
        <v>5427492.7699999986</v>
      </c>
      <c r="G92" s="191">
        <f t="shared" si="11"/>
        <v>1938390.2749999994</v>
      </c>
      <c r="H92" s="191">
        <f t="shared" si="11"/>
        <v>1550712.2199999997</v>
      </c>
      <c r="I92" s="248">
        <f t="shared" si="12"/>
        <v>19383902.749999993</v>
      </c>
    </row>
    <row r="93" spans="1:9" x14ac:dyDescent="0.2">
      <c r="B93" s="137"/>
      <c r="C93" s="137" t="s">
        <v>82</v>
      </c>
      <c r="D93" s="250">
        <f t="shared" si="11"/>
        <v>910034311.57625008</v>
      </c>
      <c r="E93" s="250">
        <f t="shared" si="11"/>
        <v>5339105413.1225014</v>
      </c>
      <c r="F93" s="250">
        <f t="shared" si="11"/>
        <v>5028340271.498126</v>
      </c>
      <c r="G93" s="250">
        <f t="shared" si="11"/>
        <v>3925969941.0368757</v>
      </c>
      <c r="H93" s="250">
        <f t="shared" si="11"/>
        <v>2543109583.0350008</v>
      </c>
      <c r="I93" s="252">
        <f t="shared" si="12"/>
        <v>17746559520.268753</v>
      </c>
    </row>
    <row r="94" spans="1:9" x14ac:dyDescent="0.2">
      <c r="B94" s="134" t="s">
        <v>83</v>
      </c>
      <c r="C94" s="134" t="s">
        <v>77</v>
      </c>
      <c r="D94" s="191">
        <f t="shared" si="11"/>
        <v>19615688.996999994</v>
      </c>
      <c r="E94" s="191">
        <f t="shared" si="11"/>
        <v>68654911.489499971</v>
      </c>
      <c r="F94" s="191">
        <f t="shared" si="11"/>
        <v>45769940.992999986</v>
      </c>
      <c r="G94" s="191">
        <f t="shared" si="11"/>
        <v>16346407.497499995</v>
      </c>
      <c r="H94" s="191">
        <f t="shared" si="11"/>
        <v>13077125.997999996</v>
      </c>
      <c r="I94" s="307">
        <f t="shared" ref="I94:I99" si="13">SUM(D94:H94)</f>
        <v>163464074.97499993</v>
      </c>
    </row>
    <row r="95" spans="1:9" x14ac:dyDescent="0.2">
      <c r="C95" s="134" t="s">
        <v>78</v>
      </c>
      <c r="D95" s="191">
        <f t="shared" si="11"/>
        <v>82276494.742492869</v>
      </c>
      <c r="E95" s="191">
        <f t="shared" si="11"/>
        <v>923301868.28398824</v>
      </c>
      <c r="F95" s="191">
        <f t="shared" si="11"/>
        <v>1547174186.0488019</v>
      </c>
      <c r="G95" s="191">
        <f t="shared" si="11"/>
        <v>928944685.93346238</v>
      </c>
      <c r="H95" s="191">
        <f t="shared" si="11"/>
        <v>1737189208.0852475</v>
      </c>
      <c r="I95" s="307">
        <f t="shared" si="13"/>
        <v>5218886443.0939922</v>
      </c>
    </row>
    <row r="96" spans="1:9" x14ac:dyDescent="0.2">
      <c r="C96" s="134" t="s">
        <v>79</v>
      </c>
      <c r="D96" s="191">
        <f t="shared" si="11"/>
        <v>4601337.75</v>
      </c>
      <c r="E96" s="191">
        <f t="shared" si="11"/>
        <v>16104682.125</v>
      </c>
      <c r="F96" s="191">
        <f t="shared" si="11"/>
        <v>10736454.75</v>
      </c>
      <c r="G96" s="191">
        <f t="shared" si="11"/>
        <v>3834448.125</v>
      </c>
      <c r="H96" s="191">
        <f t="shared" si="11"/>
        <v>3067558.5</v>
      </c>
      <c r="I96" s="307">
        <f t="shared" si="13"/>
        <v>38344481.25</v>
      </c>
    </row>
    <row r="97" spans="1:10" x14ac:dyDescent="0.2">
      <c r="C97" s="134" t="s">
        <v>80</v>
      </c>
      <c r="D97" s="191">
        <f>D57+D77</f>
        <v>23595004.549473688</v>
      </c>
      <c r="E97" s="191">
        <f t="shared" ref="E97:H97" si="14">E57+E77</f>
        <v>82582515.923157901</v>
      </c>
      <c r="F97" s="191">
        <f t="shared" si="14"/>
        <v>55055010.61543861</v>
      </c>
      <c r="G97" s="191">
        <f t="shared" si="14"/>
        <v>19662503.791228071</v>
      </c>
      <c r="H97" s="191">
        <f t="shared" si="14"/>
        <v>15730003.032982457</v>
      </c>
      <c r="I97" s="307">
        <f t="shared" si="13"/>
        <v>196625037.91228074</v>
      </c>
    </row>
    <row r="98" spans="1:10" x14ac:dyDescent="0.2">
      <c r="C98" s="134" t="s">
        <v>81</v>
      </c>
      <c r="D98" s="191">
        <f t="shared" ref="D98:H98" si="15">D58+D78</f>
        <v>23830890.227999996</v>
      </c>
      <c r="E98" s="191">
        <f t="shared" si="15"/>
        <v>83408115.797999993</v>
      </c>
      <c r="F98" s="191">
        <f t="shared" si="15"/>
        <v>55605410.53199999</v>
      </c>
      <c r="G98" s="191">
        <f t="shared" si="15"/>
        <v>19859075.189999998</v>
      </c>
      <c r="H98" s="191">
        <f t="shared" si="15"/>
        <v>15887260.151999999</v>
      </c>
      <c r="I98" s="307">
        <f t="shared" si="13"/>
        <v>198590751.89999998</v>
      </c>
    </row>
    <row r="99" spans="1:10" x14ac:dyDescent="0.2">
      <c r="B99" s="137"/>
      <c r="C99" s="137" t="s">
        <v>82</v>
      </c>
      <c r="D99" s="250">
        <f t="shared" ref="D99:H99" si="16">D59+D79</f>
        <v>16009560.270000003</v>
      </c>
      <c r="E99" s="250">
        <f t="shared" si="16"/>
        <v>56033460.945000008</v>
      </c>
      <c r="F99" s="250">
        <f t="shared" si="16"/>
        <v>37355640.63000001</v>
      </c>
      <c r="G99" s="250">
        <f t="shared" si="16"/>
        <v>13341300.225000001</v>
      </c>
      <c r="H99" s="250">
        <f t="shared" si="16"/>
        <v>10673040.180000003</v>
      </c>
      <c r="I99" s="252">
        <f t="shared" si="13"/>
        <v>133413002.25000003</v>
      </c>
    </row>
    <row r="100" spans="1:10" hidden="1" outlineLevel="1" x14ac:dyDescent="0.2">
      <c r="B100" s="134" t="s">
        <v>84</v>
      </c>
      <c r="C100" s="134" t="s">
        <v>62</v>
      </c>
      <c r="D100" s="191">
        <f t="shared" ref="D100:H100" si="17">D60+D80</f>
        <v>0</v>
      </c>
      <c r="E100" s="191">
        <f t="shared" si="17"/>
        <v>0</v>
      </c>
      <c r="F100" s="191">
        <f t="shared" si="17"/>
        <v>0</v>
      </c>
      <c r="G100" s="191">
        <f t="shared" si="17"/>
        <v>0</v>
      </c>
      <c r="H100" s="191">
        <f t="shared" si="17"/>
        <v>0</v>
      </c>
      <c r="I100" s="307">
        <f>SUM(D100:H100)</f>
        <v>0</v>
      </c>
    </row>
    <row r="101" spans="1:10" hidden="1" outlineLevel="1" x14ac:dyDescent="0.2">
      <c r="C101" s="134" t="s">
        <v>63</v>
      </c>
      <c r="D101" s="191">
        <f t="shared" ref="D101:H101" si="18">D61+D81</f>
        <v>0</v>
      </c>
      <c r="E101" s="191">
        <f t="shared" si="18"/>
        <v>0</v>
      </c>
      <c r="F101" s="191">
        <f t="shared" si="18"/>
        <v>0</v>
      </c>
      <c r="G101" s="191">
        <f t="shared" si="18"/>
        <v>0</v>
      </c>
      <c r="H101" s="191">
        <f t="shared" si="18"/>
        <v>0</v>
      </c>
      <c r="I101" s="307">
        <f t="shared" ref="I101:I102" si="19">SUM(D101:H101)</f>
        <v>0</v>
      </c>
    </row>
    <row r="102" spans="1:10" hidden="1" outlineLevel="1" x14ac:dyDescent="0.2">
      <c r="B102" s="137"/>
      <c r="C102" s="137" t="s">
        <v>64</v>
      </c>
      <c r="D102" s="250">
        <f t="shared" ref="D102:H102" si="20">D62+D82</f>
        <v>0</v>
      </c>
      <c r="E102" s="250">
        <f t="shared" si="20"/>
        <v>0</v>
      </c>
      <c r="F102" s="250">
        <f t="shared" si="20"/>
        <v>0</v>
      </c>
      <c r="G102" s="250">
        <f t="shared" si="20"/>
        <v>0</v>
      </c>
      <c r="H102" s="250">
        <f t="shared" si="20"/>
        <v>0</v>
      </c>
      <c r="I102" s="252">
        <f t="shared" si="19"/>
        <v>0</v>
      </c>
    </row>
    <row r="103" spans="1:10" s="170" customFormat="1" collapsed="1" x14ac:dyDescent="0.2">
      <c r="C103" s="248" t="s">
        <v>60</v>
      </c>
      <c r="D103" s="248">
        <f t="shared" ref="D103:I103" si="21">SUM(D87:D96)</f>
        <v>1874768163.0502529</v>
      </c>
      <c r="E103" s="248">
        <f t="shared" si="21"/>
        <v>11221325611.952898</v>
      </c>
      <c r="F103" s="248">
        <f t="shared" si="21"/>
        <v>11376120144.182564</v>
      </c>
      <c r="G103" s="248">
        <f t="shared" si="21"/>
        <v>8175494399.8536787</v>
      </c>
      <c r="H103" s="248">
        <f t="shared" si="21"/>
        <v>7036118886.4654789</v>
      </c>
      <c r="I103" s="248">
        <f t="shared" si="21"/>
        <v>39683827205.504875</v>
      </c>
    </row>
    <row r="105" spans="1:10" x14ac:dyDescent="0.2">
      <c r="B105" s="140" t="s">
        <v>88</v>
      </c>
      <c r="C105" s="140"/>
      <c r="D105" s="140"/>
      <c r="E105" s="140"/>
      <c r="F105" s="140"/>
      <c r="G105" s="140"/>
      <c r="H105" s="140"/>
      <c r="I105" s="140"/>
    </row>
    <row r="106" spans="1:10" x14ac:dyDescent="0.2">
      <c r="B106" s="147" t="s">
        <v>74</v>
      </c>
      <c r="C106" s="147" t="s">
        <v>86</v>
      </c>
      <c r="D106" s="147" t="s">
        <v>61</v>
      </c>
      <c r="E106" s="147" t="s">
        <v>62</v>
      </c>
      <c r="F106" s="147" t="s">
        <v>63</v>
      </c>
      <c r="G106" s="147" t="s">
        <v>64</v>
      </c>
      <c r="H106" s="147" t="s">
        <v>65</v>
      </c>
      <c r="I106" s="147" t="s">
        <v>60</v>
      </c>
    </row>
    <row r="107" spans="1:10" x14ac:dyDescent="0.2">
      <c r="A107" s="134" t="str">
        <f>A8</f>
        <v>Hyper-local: General</v>
      </c>
      <c r="B107" s="137" t="s">
        <v>76</v>
      </c>
      <c r="C107" s="137" t="s">
        <v>77</v>
      </c>
      <c r="D107" s="138">
        <f>D27*HLOOKUP($A107,'Model Org Stats'!$E$6:$CO$38,26, FALSE)</f>
        <v>18</v>
      </c>
      <c r="E107" s="138">
        <f>E27*HLOOKUP($A107,'Model Org Stats'!$E$6:$CO$38,26, FALSE)</f>
        <v>234</v>
      </c>
      <c r="F107" s="138">
        <f>F27*HLOOKUP($A107,'Model Org Stats'!$E$6:$CO$38,26, FALSE)</f>
        <v>774</v>
      </c>
      <c r="G107" s="138">
        <f>G27*HLOOKUP($A107,'Model Org Stats'!$E$6:$CO$38,26, FALSE)</f>
        <v>711</v>
      </c>
      <c r="H107" s="138">
        <f>H27*HLOOKUP($A107,'Model Org Stats'!$E$6:$CO$38,26, FALSE)</f>
        <v>1716</v>
      </c>
      <c r="I107" s="251">
        <f>SUM(D107:H107)</f>
        <v>3453</v>
      </c>
    </row>
    <row r="108" spans="1:10" x14ac:dyDescent="0.2">
      <c r="A108" s="134" t="str">
        <f t="shared" ref="A108:A122" si="22">A9</f>
        <v>Local: General</v>
      </c>
      <c r="B108" s="134" t="s">
        <v>7</v>
      </c>
      <c r="C108" s="134" t="s">
        <v>77</v>
      </c>
      <c r="D108" s="136">
        <f>D28*HLOOKUP($A108,'Model Org Stats'!$E$6:$CO$38,26, FALSE)</f>
        <v>930.90000000000043</v>
      </c>
      <c r="E108" s="136">
        <f>E28*HLOOKUP($A108,'Model Org Stats'!$E$6:$CO$38,26, FALSE)</f>
        <v>5724.5000000000027</v>
      </c>
      <c r="F108" s="136">
        <f>F28*HLOOKUP($A108,'Model Org Stats'!$E$6:$CO$38,26, FALSE)</f>
        <v>4520.7500000000018</v>
      </c>
      <c r="G108" s="136">
        <f>G28*HLOOKUP($A108,'Model Org Stats'!$E$6:$CO$38,26, FALSE)</f>
        <v>2717.8000000000011</v>
      </c>
      <c r="H108" s="136">
        <f>H28*HLOOKUP($A108,'Model Org Stats'!$E$6:$CO$38,26, FALSE)</f>
        <v>2321.900000000001</v>
      </c>
      <c r="I108" s="153">
        <f>SUM(D108:H108)</f>
        <v>16215.850000000008</v>
      </c>
    </row>
    <row r="109" spans="1:10" x14ac:dyDescent="0.2">
      <c r="A109" s="134" t="str">
        <f t="shared" si="22"/>
        <v>Local: Multiple Related Topics</v>
      </c>
      <c r="C109" s="134" t="s">
        <v>78</v>
      </c>
      <c r="D109" s="136">
        <f>D29*HLOOKUP($A109,'Model Org Stats'!$E$6:$CO$38,26, FALSE)</f>
        <v>4866.1136363636397</v>
      </c>
      <c r="E109" s="136">
        <f>E29*HLOOKUP($A109,'Model Org Stats'!$E$6:$CO$38,26, FALSE)</f>
        <v>28549.136363636382</v>
      </c>
      <c r="F109" s="136">
        <f>F29*HLOOKUP($A109,'Model Org Stats'!$E$6:$CO$38,26, FALSE)</f>
        <v>26887.42045454547</v>
      </c>
      <c r="G109" s="136">
        <f>G29*HLOOKUP($A109,'Model Org Stats'!$E$6:$CO$38,26, FALSE)</f>
        <v>20992.852272727287</v>
      </c>
      <c r="H109" s="136">
        <f>H29*HLOOKUP($A109,'Model Org Stats'!$E$6:$CO$38,26, FALSE)</f>
        <v>13598.454545454553</v>
      </c>
      <c r="I109" s="153">
        <f t="shared" ref="I109:I112" si="23">SUM(D109:H109)</f>
        <v>94893.977272727338</v>
      </c>
    </row>
    <row r="110" spans="1:10" x14ac:dyDescent="0.2">
      <c r="A110" s="134" t="str">
        <f t="shared" si="22"/>
        <v>Local: Single-Topic</v>
      </c>
      <c r="C110" s="134" t="s">
        <v>79</v>
      </c>
      <c r="D110" s="136">
        <f>D30*HLOOKUP($A110,'Model Org Stats'!$E$6:$CO$38,26, FALSE)</f>
        <v>1781.0833333333333</v>
      </c>
      <c r="E110" s="136">
        <f>E30*HLOOKUP($A110,'Model Org Stats'!$E$6:$CO$38,26, FALSE)</f>
        <v>9060.0833333333321</v>
      </c>
      <c r="F110" s="136">
        <f>F30*HLOOKUP($A110,'Model Org Stats'!$E$6:$CO$38,26, FALSE)</f>
        <v>10157.25</v>
      </c>
      <c r="G110" s="136">
        <f>G30*HLOOKUP($A110,'Model Org Stats'!$E$6:$CO$38,26, FALSE)</f>
        <v>5848.333333333333</v>
      </c>
      <c r="H110" s="136">
        <f>H30*HLOOKUP($A110,'Model Org Stats'!$E$6:$CO$38,26, FALSE)</f>
        <v>7134</v>
      </c>
      <c r="I110" s="153">
        <f t="shared" si="23"/>
        <v>33980.75</v>
      </c>
      <c r="J110" s="200"/>
    </row>
    <row r="111" spans="1:10" x14ac:dyDescent="0.2">
      <c r="A111" s="134" t="str">
        <f t="shared" si="22"/>
        <v>Local: Explanatory &amp; Analysis</v>
      </c>
      <c r="C111" s="134" t="s">
        <v>80</v>
      </c>
      <c r="D111" s="136">
        <f>D31*HLOOKUP($A111,'Model Org Stats'!$E$6:$CO$38,26, FALSE)</f>
        <v>44.217391304347856</v>
      </c>
      <c r="E111" s="136">
        <f>E31*HLOOKUP($A111,'Model Org Stats'!$E$6:$CO$38,26, FALSE)</f>
        <v>364.79347826086985</v>
      </c>
      <c r="F111" s="136">
        <f>F31*HLOOKUP($A111,'Model Org Stats'!$E$6:$CO$38,26, FALSE)</f>
        <v>526.92391304347871</v>
      </c>
      <c r="G111" s="136">
        <f>G31*HLOOKUP($A111,'Model Org Stats'!$E$6:$CO$38,26, FALSE)</f>
        <v>309.52173913043504</v>
      </c>
      <c r="H111" s="136">
        <f>H31*HLOOKUP($A111,'Model Org Stats'!$E$6:$CO$38,26, FALSE)</f>
        <v>541.66304347826133</v>
      </c>
      <c r="I111" s="153">
        <f t="shared" si="23"/>
        <v>1787.1195652173928</v>
      </c>
    </row>
    <row r="112" spans="1:10" x14ac:dyDescent="0.2">
      <c r="A112" s="134" t="str">
        <f t="shared" si="22"/>
        <v>Local: Investigative</v>
      </c>
      <c r="C112" s="134" t="s">
        <v>81</v>
      </c>
      <c r="D112" s="136">
        <f>D32*HLOOKUP($A112,'Model Org Stats'!$E$6:$CO$38,26, FALSE)</f>
        <v>27.665217391304331</v>
      </c>
      <c r="E112" s="136">
        <f>E32*HLOOKUP($A112,'Model Org Stats'!$E$6:$CO$38,26, FALSE)</f>
        <v>96.828260869565156</v>
      </c>
      <c r="F112" s="136">
        <f>F32*HLOOKUP($A112,'Model Org Stats'!$E$6:$CO$38,26, FALSE)</f>
        <v>64.552173913043447</v>
      </c>
      <c r="G112" s="136">
        <f>G32*HLOOKUP($A112,'Model Org Stats'!$E$6:$CO$38,26, FALSE)</f>
        <v>23.054347826086943</v>
      </c>
      <c r="H112" s="136">
        <f>H32*HLOOKUP($A112,'Model Org Stats'!$E$6:$CO$38,26, FALSE)</f>
        <v>18.443478260869554</v>
      </c>
      <c r="I112" s="153">
        <f t="shared" si="23"/>
        <v>230.54347826086945</v>
      </c>
    </row>
    <row r="113" spans="1:9" x14ac:dyDescent="0.2">
      <c r="A113" s="134" t="str">
        <f t="shared" si="22"/>
        <v>Local: Current News &amp; Events</v>
      </c>
      <c r="B113" s="137"/>
      <c r="C113" s="137" t="s">
        <v>82</v>
      </c>
      <c r="D113" s="138">
        <f>D33*HLOOKUP($A113,'Model Org Stats'!$E$6:$CO$38,26, FALSE)</f>
        <v>6151.3351351351375</v>
      </c>
      <c r="E113" s="138">
        <f>E33*HLOOKUP($A113,'Model Org Stats'!$E$6:$CO$38,26, FALSE)</f>
        <v>36089.437837837853</v>
      </c>
      <c r="F113" s="138">
        <f>F33*HLOOKUP($A113,'Model Org Stats'!$E$6:$CO$38,26, FALSE)</f>
        <v>33988.835135135152</v>
      </c>
      <c r="G113" s="138">
        <f>G33*HLOOKUP($A113,'Model Org Stats'!$E$6:$CO$38,26, FALSE)</f>
        <v>26537.413513513526</v>
      </c>
      <c r="H113" s="138">
        <f>H33*HLOOKUP($A113,'Model Org Stats'!$E$6:$CO$38,26, FALSE)</f>
        <v>17190.032432432439</v>
      </c>
      <c r="I113" s="251">
        <f>SUM(D113:H113)</f>
        <v>119957.05405405411</v>
      </c>
    </row>
    <row r="114" spans="1:9" x14ac:dyDescent="0.2">
      <c r="A114" s="134" t="str">
        <f t="shared" si="22"/>
        <v>State: General</v>
      </c>
      <c r="B114" s="134" t="s">
        <v>83</v>
      </c>
      <c r="C114" s="134" t="s">
        <v>77</v>
      </c>
      <c r="D114" s="136">
        <f>D34*HLOOKUP($A114,'Model Org Stats'!$E$6:$CO$38,26, FALSE)</f>
        <v>131.49999999999991</v>
      </c>
      <c r="E114" s="136">
        <f>E34*HLOOKUP($A114,'Model Org Stats'!$E$6:$CO$38,26, FALSE)</f>
        <v>460.24999999999972</v>
      </c>
      <c r="F114" s="136">
        <f>F34*HLOOKUP($A114,'Model Org Stats'!$E$6:$CO$38,26, FALSE)</f>
        <v>306.83333333333314</v>
      </c>
      <c r="G114" s="136">
        <f>G34*HLOOKUP($A114,'Model Org Stats'!$E$6:$CO$38,26, FALSE)</f>
        <v>109.58333333333326</v>
      </c>
      <c r="H114" s="136">
        <f>H34*HLOOKUP($A114,'Model Org Stats'!$E$6:$CO$38,26, FALSE)</f>
        <v>87.666666666666615</v>
      </c>
      <c r="I114" s="153">
        <f t="shared" ref="I114:I122" si="24">SUM(D114:H114)</f>
        <v>1095.8333333333326</v>
      </c>
    </row>
    <row r="115" spans="1:9" x14ac:dyDescent="0.2">
      <c r="A115" s="134" t="str">
        <f t="shared" si="22"/>
        <v>State: Multiple Related Topics</v>
      </c>
      <c r="C115" s="134" t="s">
        <v>78</v>
      </c>
      <c r="D115" s="136">
        <f>D35*HLOOKUP($A115,'Model Org Stats'!$E$6:$CO$38,26, FALSE)</f>
        <v>532.13585160000025</v>
      </c>
      <c r="E115" s="136">
        <f>E35*HLOOKUP($A115,'Model Org Stats'!$E$6:$CO$38,26, FALSE)</f>
        <v>5971.5964748000033</v>
      </c>
      <c r="F115" s="136">
        <f>F35*HLOOKUP($A115,'Model Org Stats'!$E$6:$CO$38,26, FALSE)</f>
        <v>10006.586396800007</v>
      </c>
      <c r="G115" s="136">
        <f>G35*HLOOKUP($A115,'Model Org Stats'!$E$6:$CO$38,26, FALSE)</f>
        <v>6008.0922636000032</v>
      </c>
      <c r="H115" s="136">
        <f>H35*HLOOKUP($A115,'Model Org Stats'!$E$6:$CO$38,26, FALSE)</f>
        <v>11235.537701600006</v>
      </c>
      <c r="I115" s="153">
        <f t="shared" si="24"/>
        <v>33753.948688400022</v>
      </c>
    </row>
    <row r="116" spans="1:9" x14ac:dyDescent="0.2">
      <c r="A116" s="134" t="str">
        <f t="shared" si="22"/>
        <v>State: Single-Topic</v>
      </c>
      <c r="C116" s="134" t="s">
        <v>79</v>
      </c>
      <c r="D116" s="136">
        <f>D36*HLOOKUP($A116,'Model Org Stats'!$E$6:$CO$38,26, FALSE)</f>
        <v>32.657142857142858</v>
      </c>
      <c r="E116" s="136">
        <f>E36*HLOOKUP($A116,'Model Org Stats'!$E$6:$CO$38,26, FALSE)</f>
        <v>114.30000000000001</v>
      </c>
      <c r="F116" s="136">
        <f>F36*HLOOKUP($A116,'Model Org Stats'!$E$6:$CO$38,26, FALSE)</f>
        <v>76.2</v>
      </c>
      <c r="G116" s="136">
        <f>G36*HLOOKUP($A116,'Model Org Stats'!$E$6:$CO$38,26, FALSE)</f>
        <v>27.214285714285715</v>
      </c>
      <c r="H116" s="136">
        <f>H36*HLOOKUP($A116,'Model Org Stats'!$E$6:$CO$38,26, FALSE)</f>
        <v>21.771428571428572</v>
      </c>
      <c r="I116" s="153">
        <f t="shared" si="24"/>
        <v>272.14285714285711</v>
      </c>
    </row>
    <row r="117" spans="1:9" x14ac:dyDescent="0.2">
      <c r="A117" s="134" t="str">
        <f t="shared" si="22"/>
        <v>State: Explanatory &amp; Analysis</v>
      </c>
      <c r="C117" s="134" t="s">
        <v>80</v>
      </c>
      <c r="D117" s="136">
        <f>D37*HLOOKUP($A117,'Model Org Stats'!$E$6:$CO$38,26, FALSE)</f>
        <v>170.07999999999998</v>
      </c>
      <c r="E117" s="136">
        <f>E37*HLOOKUP($A117,'Model Org Stats'!$E$6:$CO$38,26, FALSE)</f>
        <v>595.28</v>
      </c>
      <c r="F117" s="136">
        <f>F37*HLOOKUP($A117,'Model Org Stats'!$E$6:$CO$38,26, FALSE)</f>
        <v>396.8533333333333</v>
      </c>
      <c r="G117" s="136">
        <f>G37*HLOOKUP($A117,'Model Org Stats'!$E$6:$CO$38,26, FALSE)</f>
        <v>141.73333333333332</v>
      </c>
      <c r="H117" s="136">
        <f>H37*HLOOKUP($A117,'Model Org Stats'!$E$6:$CO$38,26, FALSE)</f>
        <v>113.38666666666666</v>
      </c>
      <c r="I117" s="153">
        <f t="shared" si="24"/>
        <v>1417.333333333333</v>
      </c>
    </row>
    <row r="118" spans="1:9" x14ac:dyDescent="0.2">
      <c r="A118" s="134" t="str">
        <f t="shared" si="22"/>
        <v>State: Investigative</v>
      </c>
      <c r="C118" s="134" t="s">
        <v>81</v>
      </c>
      <c r="D118" s="136">
        <f>D38*HLOOKUP($A118,'Model Org Stats'!$E$6:$CO$38,26, FALSE)</f>
        <v>151.43478260869571</v>
      </c>
      <c r="E118" s="136">
        <f>E38*HLOOKUP($A118,'Model Org Stats'!$E$6:$CO$38,26, FALSE)</f>
        <v>530.02173913043498</v>
      </c>
      <c r="F118" s="136">
        <f>F38*HLOOKUP($A118,'Model Org Stats'!$E$6:$CO$38,26, FALSE)</f>
        <v>353.34782608695667</v>
      </c>
      <c r="G118" s="136">
        <f>G38*HLOOKUP($A118,'Model Org Stats'!$E$6:$CO$38,26, FALSE)</f>
        <v>126.19565217391309</v>
      </c>
      <c r="H118" s="136">
        <f>H38*HLOOKUP($A118,'Model Org Stats'!$E$6:$CO$38,26, FALSE)</f>
        <v>100.95652173913047</v>
      </c>
      <c r="I118" s="153">
        <f t="shared" si="24"/>
        <v>1261.9565217391309</v>
      </c>
    </row>
    <row r="119" spans="1:9" x14ac:dyDescent="0.2">
      <c r="A119" s="134" t="str">
        <f t="shared" si="22"/>
        <v>State: Current News &amp; Events</v>
      </c>
      <c r="B119" s="137"/>
      <c r="C119" s="137" t="s">
        <v>82</v>
      </c>
      <c r="D119" s="138">
        <f>D39*HLOOKUP($A119,'Model Org Stats'!$E$6:$CO$38,26, FALSE)</f>
        <v>106.85000000000005</v>
      </c>
      <c r="E119" s="138">
        <f>E39*HLOOKUP($A119,'Model Org Stats'!$E$6:$CO$38,26, FALSE)</f>
        <v>373.97500000000014</v>
      </c>
      <c r="F119" s="138">
        <f>F39*HLOOKUP($A119,'Model Org Stats'!$E$6:$CO$38,26, FALSE)</f>
        <v>249.31666666666678</v>
      </c>
      <c r="G119" s="138">
        <f>G39*HLOOKUP($A119,'Model Org Stats'!$E$6:$CO$38,26, FALSE)</f>
        <v>89.0416666666667</v>
      </c>
      <c r="H119" s="138">
        <f>H39*HLOOKUP($A119,'Model Org Stats'!$E$6:$CO$38,26, FALSE)</f>
        <v>71.233333333333363</v>
      </c>
      <c r="I119" s="251">
        <f t="shared" si="24"/>
        <v>890.41666666666697</v>
      </c>
    </row>
    <row r="120" spans="1:9" hidden="1" outlineLevel="1" x14ac:dyDescent="0.2">
      <c r="A120" s="134" t="str">
        <f t="shared" si="22"/>
        <v>Public Radio: Small</v>
      </c>
      <c r="B120" s="134" t="s">
        <v>84</v>
      </c>
      <c r="C120" s="134" t="s">
        <v>62</v>
      </c>
      <c r="D120" s="136">
        <f>D40*HLOOKUP($A120,'Model Org Stats'!$E$6:$CO$38,26, FALSE)</f>
        <v>0</v>
      </c>
      <c r="E120" s="136">
        <f>E40*HLOOKUP($A120,'Model Org Stats'!$E$6:$CO$38,26, FALSE)</f>
        <v>0</v>
      </c>
      <c r="F120" s="136">
        <f>F40*HLOOKUP($A120,'Model Org Stats'!$E$6:$CO$38,26, FALSE)</f>
        <v>0</v>
      </c>
      <c r="G120" s="136">
        <f>G40*HLOOKUP($A120,'Model Org Stats'!$E$6:$CO$38,26, FALSE)</f>
        <v>0</v>
      </c>
      <c r="H120" s="136">
        <f>H40*HLOOKUP($A120,'Model Org Stats'!$E$6:$CO$38,26, FALSE)</f>
        <v>0</v>
      </c>
      <c r="I120" s="153">
        <f t="shared" si="24"/>
        <v>0</v>
      </c>
    </row>
    <row r="121" spans="1:9" hidden="1" outlineLevel="1" x14ac:dyDescent="0.2">
      <c r="A121" s="134" t="str">
        <f t="shared" si="22"/>
        <v>Public Radio: Medium</v>
      </c>
      <c r="C121" s="134" t="s">
        <v>63</v>
      </c>
      <c r="D121" s="136">
        <f>D41*HLOOKUP($A121,'Model Org Stats'!$E$6:$CO$38,26, FALSE)</f>
        <v>0</v>
      </c>
      <c r="E121" s="136">
        <f>E41*HLOOKUP($A121,'Model Org Stats'!$E$6:$CO$38,26, FALSE)</f>
        <v>0</v>
      </c>
      <c r="F121" s="136">
        <f>F41*HLOOKUP($A121,'Model Org Stats'!$E$6:$CO$38,26, FALSE)</f>
        <v>0</v>
      </c>
      <c r="G121" s="136">
        <f>G41*HLOOKUP($A121,'Model Org Stats'!$E$6:$CO$38,26, FALSE)</f>
        <v>0</v>
      </c>
      <c r="H121" s="136">
        <f>H41*HLOOKUP($A121,'Model Org Stats'!$E$6:$CO$38,26, FALSE)</f>
        <v>0</v>
      </c>
      <c r="I121" s="153">
        <f t="shared" si="24"/>
        <v>0</v>
      </c>
    </row>
    <row r="122" spans="1:9" hidden="1" outlineLevel="1" x14ac:dyDescent="0.2">
      <c r="A122" s="134" t="str">
        <f t="shared" si="22"/>
        <v>Public Radio: Large</v>
      </c>
      <c r="B122" s="137"/>
      <c r="C122" s="137" t="s">
        <v>64</v>
      </c>
      <c r="D122" s="136">
        <f>D42*HLOOKUP($A122,'Model Org Stats'!$E$6:$CO$38,26, FALSE)</f>
        <v>0</v>
      </c>
      <c r="E122" s="136">
        <f>E42*HLOOKUP($A122,'Model Org Stats'!$E$6:$CO$38,26, FALSE)</f>
        <v>0</v>
      </c>
      <c r="F122" s="136">
        <f>F42*HLOOKUP($A122,'Model Org Stats'!$E$6:$CO$38,26, FALSE)</f>
        <v>0</v>
      </c>
      <c r="G122" s="136">
        <f>G42*HLOOKUP($A122,'Model Org Stats'!$E$6:$CO$38,26, FALSE)</f>
        <v>0</v>
      </c>
      <c r="H122" s="136">
        <f>H42*HLOOKUP($A122,'Model Org Stats'!$E$6:$CO$38,26, FALSE)</f>
        <v>0</v>
      </c>
      <c r="I122" s="251">
        <f t="shared" si="24"/>
        <v>0</v>
      </c>
    </row>
    <row r="123" spans="1:9" s="170" customFormat="1" collapsed="1" x14ac:dyDescent="0.2">
      <c r="C123" s="256" t="s">
        <v>60</v>
      </c>
      <c r="D123" s="257">
        <f t="shared" ref="D123:I123" si="25">SUM(D107:D116)</f>
        <v>14515.607707984906</v>
      </c>
      <c r="E123" s="257">
        <f t="shared" si="25"/>
        <v>86664.925748738009</v>
      </c>
      <c r="F123" s="257">
        <f t="shared" si="25"/>
        <v>87309.351406770467</v>
      </c>
      <c r="G123" s="257">
        <f t="shared" si="25"/>
        <v>63284.865089178289</v>
      </c>
      <c r="H123" s="257">
        <f t="shared" si="25"/>
        <v>53865.469296464224</v>
      </c>
      <c r="I123" s="257">
        <f t="shared" si="25"/>
        <v>305640.21924913593</v>
      </c>
    </row>
    <row r="125" spans="1:9" x14ac:dyDescent="0.2">
      <c r="B125" s="140" t="s">
        <v>89</v>
      </c>
      <c r="C125" s="140"/>
      <c r="D125" s="140"/>
      <c r="E125" s="140"/>
      <c r="F125" s="140"/>
      <c r="G125" s="140"/>
      <c r="H125" s="140"/>
      <c r="I125" s="140"/>
    </row>
    <row r="126" spans="1:9" x14ac:dyDescent="0.2">
      <c r="B126" s="147" t="s">
        <v>74</v>
      </c>
      <c r="C126" s="147" t="s">
        <v>86</v>
      </c>
      <c r="D126" s="147" t="s">
        <v>61</v>
      </c>
      <c r="E126" s="147" t="s">
        <v>62</v>
      </c>
      <c r="F126" s="147" t="s">
        <v>63</v>
      </c>
      <c r="G126" s="147" t="s">
        <v>64</v>
      </c>
      <c r="H126" s="147" t="s">
        <v>65</v>
      </c>
      <c r="I126" s="147" t="s">
        <v>60</v>
      </c>
    </row>
    <row r="127" spans="1:9" x14ac:dyDescent="0.2">
      <c r="B127" s="137" t="s">
        <v>76</v>
      </c>
      <c r="C127" s="137" t="s">
        <v>77</v>
      </c>
      <c r="D127" s="138">
        <f>(Assumptions!$B$33/Assumptions!$B$32)*'By Org Type - State Local'!D107</f>
        <v>12.000000000000002</v>
      </c>
      <c r="E127" s="138">
        <f>(Assumptions!$B$33/Assumptions!$B$32)*'By Org Type - State Local'!E107</f>
        <v>156.00000000000003</v>
      </c>
      <c r="F127" s="138">
        <f>(Assumptions!$B$33/Assumptions!$B$32)*'By Org Type - State Local'!F107</f>
        <v>516.00000000000011</v>
      </c>
      <c r="G127" s="138">
        <f>(Assumptions!$B$33/Assumptions!$B$32)*'By Org Type - State Local'!G107</f>
        <v>474.00000000000006</v>
      </c>
      <c r="H127" s="138">
        <f>(Assumptions!$B$33/Assumptions!$B$32)*'By Org Type - State Local'!H107</f>
        <v>1144.0000000000002</v>
      </c>
      <c r="I127" s="251">
        <f>SUM(D127:H127)</f>
        <v>2302.0000000000005</v>
      </c>
    </row>
    <row r="128" spans="1:9" x14ac:dyDescent="0.2">
      <c r="B128" s="134" t="s">
        <v>7</v>
      </c>
      <c r="C128" s="134" t="s">
        <v>77</v>
      </c>
      <c r="D128" s="136">
        <f>(Assumptions!$B$33/Assumptions!$B$32)*'By Org Type - State Local'!D108</f>
        <v>620.60000000000036</v>
      </c>
      <c r="E128" s="136">
        <f>(Assumptions!$B$33/Assumptions!$B$32)*'By Org Type - State Local'!E108</f>
        <v>3816.3333333333358</v>
      </c>
      <c r="F128" s="136">
        <f>(Assumptions!$B$33/Assumptions!$B$32)*'By Org Type - State Local'!F108</f>
        <v>3013.8333333333348</v>
      </c>
      <c r="G128" s="136">
        <f>(Assumptions!$B$33/Assumptions!$B$32)*'By Org Type - State Local'!G108</f>
        <v>1811.8666666666677</v>
      </c>
      <c r="H128" s="136">
        <f>(Assumptions!$B$33/Assumptions!$B$32)*'By Org Type - State Local'!H108</f>
        <v>1547.9333333333341</v>
      </c>
      <c r="I128" s="153">
        <f>SUM(D128:H128)</f>
        <v>10810.566666666673</v>
      </c>
    </row>
    <row r="129" spans="2:9" x14ac:dyDescent="0.2">
      <c r="C129" s="134" t="s">
        <v>78</v>
      </c>
      <c r="D129" s="136">
        <f>(Assumptions!$B$33/Assumptions!$B$32)*'By Org Type - State Local'!D109</f>
        <v>3244.0757575757602</v>
      </c>
      <c r="E129" s="136">
        <f>(Assumptions!$B$33/Assumptions!$B$32)*'By Org Type - State Local'!E109</f>
        <v>19032.757575757591</v>
      </c>
      <c r="F129" s="136">
        <f>(Assumptions!$B$33/Assumptions!$B$32)*'By Org Type - State Local'!F109</f>
        <v>17924.946969696983</v>
      </c>
      <c r="G129" s="136">
        <f>(Assumptions!$B$33/Assumptions!$B$32)*'By Org Type - State Local'!G109</f>
        <v>13995.234848484859</v>
      </c>
      <c r="H129" s="136">
        <f>(Assumptions!$B$33/Assumptions!$B$32)*'By Org Type - State Local'!H109</f>
        <v>9065.6363636363694</v>
      </c>
      <c r="I129" s="153">
        <f t="shared" ref="I129:I136" si="26">SUM(D129:H129)</f>
        <v>63262.651515151563</v>
      </c>
    </row>
    <row r="130" spans="2:9" x14ac:dyDescent="0.2">
      <c r="C130" s="134" t="s">
        <v>79</v>
      </c>
      <c r="D130" s="136">
        <f>(Assumptions!$B$33/Assumptions!$B$32)*'By Org Type - State Local'!D110</f>
        <v>1187.3888888888889</v>
      </c>
      <c r="E130" s="136">
        <f>(Assumptions!$B$33/Assumptions!$B$32)*'By Org Type - State Local'!E110</f>
        <v>6040.0555555555557</v>
      </c>
      <c r="F130" s="136">
        <f>(Assumptions!$B$33/Assumptions!$B$32)*'By Org Type - State Local'!F110</f>
        <v>6771.5000000000009</v>
      </c>
      <c r="G130" s="136">
        <f>(Assumptions!$B$33/Assumptions!$B$32)*'By Org Type - State Local'!G110</f>
        <v>3898.8888888888891</v>
      </c>
      <c r="H130" s="136">
        <f>(Assumptions!$B$33/Assumptions!$B$32)*'By Org Type - State Local'!H110</f>
        <v>4756.0000000000009</v>
      </c>
      <c r="I130" s="153">
        <f t="shared" si="26"/>
        <v>22653.833333333336</v>
      </c>
    </row>
    <row r="131" spans="2:9" x14ac:dyDescent="0.2">
      <c r="C131" s="134" t="s">
        <v>80</v>
      </c>
      <c r="D131" s="136">
        <f>(Assumptions!$B$33/Assumptions!$B$32)*'By Org Type - State Local'!D111</f>
        <v>29.47826086956524</v>
      </c>
      <c r="E131" s="136">
        <f>(Assumptions!$B$33/Assumptions!$B$32)*'By Org Type - State Local'!E111</f>
        <v>243.19565217391326</v>
      </c>
      <c r="F131" s="136">
        <f>(Assumptions!$B$33/Assumptions!$B$32)*'By Org Type - State Local'!F111</f>
        <v>351.28260869565253</v>
      </c>
      <c r="G131" s="136">
        <f>(Assumptions!$B$33/Assumptions!$B$32)*'By Org Type - State Local'!G111</f>
        <v>206.3478260869567</v>
      </c>
      <c r="H131" s="136">
        <f>(Assumptions!$B$33/Assumptions!$B$32)*'By Org Type - State Local'!H111</f>
        <v>361.10869565217428</v>
      </c>
      <c r="I131" s="153">
        <f t="shared" si="26"/>
        <v>1191.4130434782619</v>
      </c>
    </row>
    <row r="132" spans="2:9" x14ac:dyDescent="0.2">
      <c r="C132" s="134" t="s">
        <v>81</v>
      </c>
      <c r="D132" s="136">
        <f>(Assumptions!$B$33/Assumptions!$B$32)*'By Org Type - State Local'!D112</f>
        <v>18.443478260869558</v>
      </c>
      <c r="E132" s="136">
        <f>(Assumptions!$B$33/Assumptions!$B$32)*'By Org Type - State Local'!E112</f>
        <v>64.552173913043447</v>
      </c>
      <c r="F132" s="136">
        <f>(Assumptions!$B$33/Assumptions!$B$32)*'By Org Type - State Local'!F112</f>
        <v>43.034782608695636</v>
      </c>
      <c r="G132" s="136">
        <f>(Assumptions!$B$33/Assumptions!$B$32)*'By Org Type - State Local'!G112</f>
        <v>15.369565217391298</v>
      </c>
      <c r="H132" s="136">
        <f>(Assumptions!$B$33/Assumptions!$B$32)*'By Org Type - State Local'!H112</f>
        <v>12.295652173913037</v>
      </c>
      <c r="I132" s="153">
        <f t="shared" si="26"/>
        <v>153.69565217391295</v>
      </c>
    </row>
    <row r="133" spans="2:9" x14ac:dyDescent="0.2">
      <c r="B133" s="137"/>
      <c r="C133" s="137" t="s">
        <v>82</v>
      </c>
      <c r="D133" s="138">
        <f>(Assumptions!$B$33/Assumptions!$B$32)*'By Org Type - State Local'!D113</f>
        <v>4100.8900900900926</v>
      </c>
      <c r="E133" s="138">
        <f>(Assumptions!$B$33/Assumptions!$B$32)*'By Org Type - State Local'!E113</f>
        <v>24059.625225225238</v>
      </c>
      <c r="F133" s="138">
        <f>(Assumptions!$B$33/Assumptions!$B$32)*'By Org Type - State Local'!F113</f>
        <v>22659.223423423438</v>
      </c>
      <c r="G133" s="138">
        <f>(Assumptions!$B$33/Assumptions!$B$32)*'By Org Type - State Local'!G113</f>
        <v>17691.609009009018</v>
      </c>
      <c r="H133" s="138">
        <f>(Assumptions!$B$33/Assumptions!$B$32)*'By Org Type - State Local'!H113</f>
        <v>11460.021621621627</v>
      </c>
      <c r="I133" s="251">
        <f t="shared" si="26"/>
        <v>79971.369369369408</v>
      </c>
    </row>
    <row r="134" spans="2:9" x14ac:dyDescent="0.2">
      <c r="B134" s="134" t="s">
        <v>83</v>
      </c>
      <c r="C134" s="134" t="s">
        <v>77</v>
      </c>
      <c r="D134" s="136">
        <f>(Assumptions!$B$33/Assumptions!$B$32)*'By Org Type - State Local'!D114</f>
        <v>87.666666666666615</v>
      </c>
      <c r="E134" s="136">
        <f>(Assumptions!$B$33/Assumptions!$B$32)*'By Org Type - State Local'!E114</f>
        <v>306.8333333333332</v>
      </c>
      <c r="F134" s="136">
        <f>(Assumptions!$B$33/Assumptions!$B$32)*'By Org Type - State Local'!F114</f>
        <v>204.55555555555546</v>
      </c>
      <c r="G134" s="136">
        <f>(Assumptions!$B$33/Assumptions!$B$32)*'By Org Type - State Local'!G114</f>
        <v>73.055555555555515</v>
      </c>
      <c r="H134" s="136">
        <f>(Assumptions!$B$33/Assumptions!$B$32)*'By Org Type - State Local'!H114</f>
        <v>58.444444444444414</v>
      </c>
      <c r="I134" s="153">
        <f t="shared" si="26"/>
        <v>730.55555555555532</v>
      </c>
    </row>
    <row r="135" spans="2:9" x14ac:dyDescent="0.2">
      <c r="C135" s="134" t="s">
        <v>78</v>
      </c>
      <c r="D135" s="136">
        <f>(Assumptions!$B$33/Assumptions!$B$32)*'By Org Type - State Local'!D115</f>
        <v>354.75723440000019</v>
      </c>
      <c r="E135" s="136">
        <f>(Assumptions!$B$33/Assumptions!$B$32)*'By Org Type - State Local'!E115</f>
        <v>3981.0643165333358</v>
      </c>
      <c r="F135" s="136">
        <f>(Assumptions!$B$33/Assumptions!$B$32)*'By Org Type - State Local'!F115</f>
        <v>6671.057597866672</v>
      </c>
      <c r="G135" s="136">
        <f>(Assumptions!$B$33/Assumptions!$B$32)*'By Org Type - State Local'!G115</f>
        <v>4005.3948424000027</v>
      </c>
      <c r="H135" s="136">
        <f>(Assumptions!$B$33/Assumptions!$B$32)*'By Org Type - State Local'!H115</f>
        <v>7490.3584677333383</v>
      </c>
      <c r="I135" s="153">
        <f t="shared" si="26"/>
        <v>22502.632458933349</v>
      </c>
    </row>
    <row r="136" spans="2:9" x14ac:dyDescent="0.2">
      <c r="C136" s="134" t="s">
        <v>79</v>
      </c>
      <c r="D136" s="136">
        <f>(Assumptions!$B$33/Assumptions!$B$32)*'By Org Type - State Local'!D116</f>
        <v>21.771428571428576</v>
      </c>
      <c r="E136" s="136">
        <f>(Assumptions!$B$33/Assumptions!$B$32)*'By Org Type - State Local'!E116</f>
        <v>76.200000000000017</v>
      </c>
      <c r="F136" s="136">
        <f>(Assumptions!$B$33/Assumptions!$B$32)*'By Org Type - State Local'!F116</f>
        <v>50.800000000000004</v>
      </c>
      <c r="G136" s="136">
        <f>(Assumptions!$B$33/Assumptions!$B$32)*'By Org Type - State Local'!G116</f>
        <v>18.142857142857146</v>
      </c>
      <c r="H136" s="136">
        <f>(Assumptions!$B$33/Assumptions!$B$32)*'By Org Type - State Local'!H116</f>
        <v>14.514285714285716</v>
      </c>
      <c r="I136" s="153">
        <f t="shared" si="26"/>
        <v>181.42857142857144</v>
      </c>
    </row>
    <row r="137" spans="2:9" x14ac:dyDescent="0.2">
      <c r="C137" s="134" t="s">
        <v>80</v>
      </c>
      <c r="D137" s="136">
        <f>(Assumptions!$B$33/Assumptions!$B$32)*'By Org Type - State Local'!D117</f>
        <v>113.38666666666667</v>
      </c>
      <c r="E137" s="136">
        <f>(Assumptions!$B$33/Assumptions!$B$32)*'By Org Type - State Local'!E117</f>
        <v>396.85333333333335</v>
      </c>
      <c r="F137" s="136">
        <f>(Assumptions!$B$33/Assumptions!$B$32)*'By Org Type - State Local'!F117</f>
        <v>264.56888888888892</v>
      </c>
      <c r="G137" s="136">
        <f>(Assumptions!$B$33/Assumptions!$B$32)*'By Org Type - State Local'!G117</f>
        <v>94.488888888888894</v>
      </c>
      <c r="H137" s="136">
        <f>(Assumptions!$B$33/Assumptions!$B$32)*'By Org Type - State Local'!H117</f>
        <v>75.591111111111118</v>
      </c>
      <c r="I137" s="153">
        <f t="shared" ref="I137:I139" si="27">SUM(D137:H137)</f>
        <v>944.88888888888903</v>
      </c>
    </row>
    <row r="138" spans="2:9" x14ac:dyDescent="0.2">
      <c r="C138" s="134" t="s">
        <v>81</v>
      </c>
      <c r="D138" s="136">
        <f>(Assumptions!$B$33/Assumptions!$B$32)*'By Org Type - State Local'!D118</f>
        <v>100.95652173913048</v>
      </c>
      <c r="E138" s="136">
        <f>(Assumptions!$B$33/Assumptions!$B$32)*'By Org Type - State Local'!E118</f>
        <v>353.34782608695667</v>
      </c>
      <c r="F138" s="136">
        <f>(Assumptions!$B$33/Assumptions!$B$32)*'By Org Type - State Local'!F118</f>
        <v>235.56521739130449</v>
      </c>
      <c r="G138" s="136">
        <f>(Assumptions!$B$33/Assumptions!$B$32)*'By Org Type - State Local'!G118</f>
        <v>84.130434782608731</v>
      </c>
      <c r="H138" s="136">
        <f>(Assumptions!$B$33/Assumptions!$B$32)*'By Org Type - State Local'!H118</f>
        <v>67.304347826086982</v>
      </c>
      <c r="I138" s="153">
        <f t="shared" si="27"/>
        <v>841.30434782608745</v>
      </c>
    </row>
    <row r="139" spans="2:9" x14ac:dyDescent="0.2">
      <c r="B139" s="137"/>
      <c r="C139" s="137" t="s">
        <v>82</v>
      </c>
      <c r="D139" s="138">
        <f>(Assumptions!$B$33/Assumptions!$B$32)*'By Org Type - State Local'!D119</f>
        <v>71.233333333333377</v>
      </c>
      <c r="E139" s="138">
        <f>(Assumptions!$B$33/Assumptions!$B$32)*'By Org Type - State Local'!E119</f>
        <v>249.31666666666678</v>
      </c>
      <c r="F139" s="138">
        <f>(Assumptions!$B$33/Assumptions!$B$32)*'By Org Type - State Local'!F119</f>
        <v>166.21111111111119</v>
      </c>
      <c r="G139" s="138">
        <f>(Assumptions!$B$33/Assumptions!$B$32)*'By Org Type - State Local'!G119</f>
        <v>59.361111111111143</v>
      </c>
      <c r="H139" s="138">
        <f>(Assumptions!$B$33/Assumptions!$B$32)*'By Org Type - State Local'!H119</f>
        <v>47.488888888888916</v>
      </c>
      <c r="I139" s="251">
        <f t="shared" si="27"/>
        <v>593.61111111111143</v>
      </c>
    </row>
    <row r="140" spans="2:9" hidden="1" outlineLevel="1" x14ac:dyDescent="0.2">
      <c r="B140" s="134" t="s">
        <v>84</v>
      </c>
      <c r="C140" s="134" t="s">
        <v>62</v>
      </c>
      <c r="D140" s="240">
        <f>(Assumptions!$B$33/Assumptions!$B$32)*'By Org Type - State Local'!D120</f>
        <v>0</v>
      </c>
      <c r="E140" s="240">
        <f>(Assumptions!$B$33/Assumptions!$B$32)*'By Org Type - State Local'!E120</f>
        <v>0</v>
      </c>
      <c r="F140" s="240">
        <f>(Assumptions!$B$33/Assumptions!$B$32)*'By Org Type - State Local'!F120</f>
        <v>0</v>
      </c>
      <c r="G140" s="240">
        <f>(Assumptions!$B$33/Assumptions!$B$32)*'By Org Type - State Local'!G120</f>
        <v>0</v>
      </c>
      <c r="H140" s="240">
        <f>(Assumptions!$B$33/Assumptions!$B$32)*'By Org Type - State Local'!H120</f>
        <v>0</v>
      </c>
      <c r="I140" s="153">
        <f t="shared" ref="I140:I142" si="28">SUM(D140:H140)</f>
        <v>0</v>
      </c>
    </row>
    <row r="141" spans="2:9" hidden="1" outlineLevel="1" x14ac:dyDescent="0.2">
      <c r="C141" s="134" t="s">
        <v>63</v>
      </c>
      <c r="D141" s="240">
        <f>(Assumptions!$B$33/Assumptions!$B$32)*'By Org Type - State Local'!D121</f>
        <v>0</v>
      </c>
      <c r="E141" s="240">
        <f>(Assumptions!$B$33/Assumptions!$B$32)*'By Org Type - State Local'!E121</f>
        <v>0</v>
      </c>
      <c r="F141" s="240">
        <f>(Assumptions!$B$33/Assumptions!$B$32)*'By Org Type - State Local'!F121</f>
        <v>0</v>
      </c>
      <c r="G141" s="240">
        <f>(Assumptions!$B$33/Assumptions!$B$32)*'By Org Type - State Local'!G121</f>
        <v>0</v>
      </c>
      <c r="H141" s="240">
        <f>(Assumptions!$B$33/Assumptions!$B$32)*'By Org Type - State Local'!H121</f>
        <v>0</v>
      </c>
      <c r="I141" s="153">
        <f t="shared" si="28"/>
        <v>0</v>
      </c>
    </row>
    <row r="142" spans="2:9" hidden="1" outlineLevel="1" x14ac:dyDescent="0.2">
      <c r="B142" s="137"/>
      <c r="C142" s="137" t="s">
        <v>64</v>
      </c>
      <c r="D142" s="138">
        <f>(Assumptions!$B$33/Assumptions!$B$32)*'By Org Type - State Local'!D122</f>
        <v>0</v>
      </c>
      <c r="E142" s="138">
        <f>(Assumptions!$B$33/Assumptions!$B$32)*'By Org Type - State Local'!E122</f>
        <v>0</v>
      </c>
      <c r="F142" s="138">
        <f>(Assumptions!$B$33/Assumptions!$B$32)*'By Org Type - State Local'!F122</f>
        <v>0</v>
      </c>
      <c r="G142" s="138">
        <f>(Assumptions!$B$33/Assumptions!$B$32)*'By Org Type - State Local'!G122</f>
        <v>0</v>
      </c>
      <c r="H142" s="138">
        <f>(Assumptions!$B$33/Assumptions!$B$32)*'By Org Type - State Local'!H122</f>
        <v>0</v>
      </c>
      <c r="I142" s="251">
        <f t="shared" si="28"/>
        <v>0</v>
      </c>
    </row>
    <row r="143" spans="2:9" s="170" customFormat="1" collapsed="1" x14ac:dyDescent="0.2">
      <c r="B143" s="134"/>
      <c r="C143" s="256" t="s">
        <v>60</v>
      </c>
      <c r="D143" s="257">
        <f t="shared" ref="D143:I143" si="29">SUM(D127:D136)</f>
        <v>9677.0718053232722</v>
      </c>
      <c r="E143" s="257">
        <f t="shared" si="29"/>
        <v>57776.617165825344</v>
      </c>
      <c r="F143" s="257">
        <f t="shared" si="29"/>
        <v>58206.234271180336</v>
      </c>
      <c r="G143" s="257">
        <f t="shared" si="29"/>
        <v>42189.910059452202</v>
      </c>
      <c r="H143" s="257">
        <f t="shared" si="29"/>
        <v>35910.31286430949</v>
      </c>
      <c r="I143" s="257">
        <f t="shared" si="29"/>
        <v>203760.14616609062</v>
      </c>
    </row>
  </sheetData>
  <conditionalFormatting sqref="B107:B122">
    <cfRule type="duplicateValues" dxfId="1" priority="2"/>
  </conditionalFormatting>
  <conditionalFormatting sqref="B127:B143">
    <cfRule type="duplicateValues" dxfId="0" priority="1"/>
  </conditionalFormatting>
  <pageMargins left="0.7" right="0.7" top="0.75" bottom="0.75" header="0.3" footer="0.3"/>
  <pageSetup scale="54" orientation="portrait" horizontalDpi="1200" verticalDpi="1200" r:id="rId1"/>
  <rowBreaks count="1" manualBreakCount="1">
    <brk id="103" min="1" max="10" man="1"/>
  </row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AA819-D105-42B7-B69A-FDEF2E26D614}">
  <sheetPr>
    <tabColor theme="8" tint="0.39997558519241921"/>
  </sheetPr>
  <dimension ref="A1:R55"/>
  <sheetViews>
    <sheetView view="pageBreakPreview" zoomScale="145" zoomScaleNormal="160" zoomScaleSheetLayoutView="145" workbookViewId="0"/>
  </sheetViews>
  <sheetFormatPr defaultColWidth="9.140625" defaultRowHeight="12" outlineLevelRow="1" outlineLevelCol="1" x14ac:dyDescent="0.2"/>
  <cols>
    <col min="1" max="1" width="27.28515625" style="134" customWidth="1"/>
    <col min="2" max="2" width="12" style="134" bestFit="1" customWidth="1"/>
    <col min="3" max="3" width="12.7109375" style="134" customWidth="1"/>
    <col min="4" max="4" width="8.7109375" style="134" bestFit="1" customWidth="1"/>
    <col min="5" max="16" width="12.7109375" style="134" customWidth="1" outlineLevel="1"/>
    <col min="17" max="17" width="9.140625" style="134" customWidth="1" outlineLevel="1" collapsed="1"/>
    <col min="18" max="18" width="9.140625" style="134" customWidth="1" outlineLevel="1"/>
    <col min="19" max="16384" width="9.140625" style="134"/>
  </cols>
  <sheetData>
    <row r="1" spans="1:5" x14ac:dyDescent="0.2">
      <c r="A1" s="133" t="s">
        <v>941</v>
      </c>
      <c r="D1" s="210"/>
      <c r="E1" s="210"/>
    </row>
    <row r="2" spans="1:5" x14ac:dyDescent="0.2">
      <c r="A2" s="133" t="s">
        <v>2</v>
      </c>
    </row>
    <row r="3" spans="1:5" x14ac:dyDescent="0.2">
      <c r="A3" s="135" t="str">
        <f>INSTRUCTIONS!A3</f>
        <v>March 2022</v>
      </c>
    </row>
    <row r="4" spans="1:5" x14ac:dyDescent="0.2">
      <c r="A4" s="135" t="s">
        <v>25</v>
      </c>
    </row>
    <row r="6" spans="1:5" x14ac:dyDescent="0.2">
      <c r="A6" s="140" t="s">
        <v>91</v>
      </c>
      <c r="B6" s="278"/>
    </row>
    <row r="7" spans="1:5" x14ac:dyDescent="0.2">
      <c r="A7" s="134" t="s">
        <v>92</v>
      </c>
      <c r="B7" s="238">
        <v>1</v>
      </c>
    </row>
    <row r="8" spans="1:5" x14ac:dyDescent="0.2">
      <c r="A8" s="134" t="s">
        <v>93</v>
      </c>
      <c r="B8" s="238">
        <v>1</v>
      </c>
    </row>
    <row r="9" spans="1:5" x14ac:dyDescent="0.2">
      <c r="A9" s="134" t="s">
        <v>94</v>
      </c>
      <c r="B9" s="219">
        <v>1</v>
      </c>
    </row>
    <row r="10" spans="1:5" x14ac:dyDescent="0.2">
      <c r="A10" s="134" t="s">
        <v>95</v>
      </c>
      <c r="B10" s="219">
        <v>1</v>
      </c>
    </row>
    <row r="11" spans="1:5" x14ac:dyDescent="0.2">
      <c r="A11" s="134" t="s">
        <v>96</v>
      </c>
      <c r="B11" s="239">
        <v>1</v>
      </c>
    </row>
    <row r="12" spans="1:5" x14ac:dyDescent="0.2">
      <c r="A12" s="134" t="s">
        <v>97</v>
      </c>
      <c r="B12" s="219">
        <v>1</v>
      </c>
    </row>
    <row r="13" spans="1:5" x14ac:dyDescent="0.2">
      <c r="A13" s="137" t="s">
        <v>98</v>
      </c>
      <c r="B13" s="219">
        <v>1</v>
      </c>
    </row>
    <row r="14" spans="1:5" x14ac:dyDescent="0.2">
      <c r="A14" s="277" t="s">
        <v>60</v>
      </c>
      <c r="B14" s="279">
        <f>SUM(B7:B13)</f>
        <v>7</v>
      </c>
    </row>
    <row r="15" spans="1:5" x14ac:dyDescent="0.2">
      <c r="A15" s="133"/>
      <c r="B15" s="274"/>
    </row>
    <row r="16" spans="1:5" x14ac:dyDescent="0.2">
      <c r="A16" s="140" t="s">
        <v>99</v>
      </c>
      <c r="B16" s="140"/>
    </row>
    <row r="17" spans="1:2" x14ac:dyDescent="0.2">
      <c r="A17" s="134" t="s">
        <v>100</v>
      </c>
      <c r="B17" s="238">
        <v>1</v>
      </c>
    </row>
    <row r="18" spans="1:2" x14ac:dyDescent="0.2">
      <c r="A18" s="134" t="s">
        <v>101</v>
      </c>
      <c r="B18" s="238">
        <v>1</v>
      </c>
    </row>
    <row r="19" spans="1:2" x14ac:dyDescent="0.2">
      <c r="A19" s="134" t="s">
        <v>102</v>
      </c>
      <c r="B19" s="219">
        <v>1</v>
      </c>
    </row>
    <row r="20" spans="1:2" x14ac:dyDescent="0.2">
      <c r="A20" s="134" t="s">
        <v>103</v>
      </c>
      <c r="B20" s="219">
        <v>1</v>
      </c>
    </row>
    <row r="21" spans="1:2" x14ac:dyDescent="0.2">
      <c r="A21" s="134" t="s">
        <v>104</v>
      </c>
      <c r="B21" s="219">
        <v>1</v>
      </c>
    </row>
    <row r="22" spans="1:2" x14ac:dyDescent="0.2">
      <c r="A22" s="137" t="s">
        <v>105</v>
      </c>
      <c r="B22" s="219">
        <v>1</v>
      </c>
    </row>
    <row r="23" spans="1:2" x14ac:dyDescent="0.2">
      <c r="A23" s="277" t="s">
        <v>60</v>
      </c>
      <c r="B23" s="279">
        <f>SUM(B17:B22)</f>
        <v>6</v>
      </c>
    </row>
    <row r="24" spans="1:2" x14ac:dyDescent="0.2">
      <c r="A24" s="133"/>
      <c r="B24" s="274"/>
    </row>
    <row r="25" spans="1:2" hidden="1" outlineLevel="1" x14ac:dyDescent="0.2">
      <c r="A25" s="140" t="s">
        <v>106</v>
      </c>
      <c r="B25" s="140"/>
    </row>
    <row r="26" spans="1:2" hidden="1" outlineLevel="1" x14ac:dyDescent="0.2">
      <c r="A26" s="134" t="s">
        <v>107</v>
      </c>
      <c r="B26" s="226">
        <v>0.28999999999999998</v>
      </c>
    </row>
    <row r="27" spans="1:2" hidden="1" outlineLevel="1" x14ac:dyDescent="0.2">
      <c r="A27" s="134" t="s">
        <v>108</v>
      </c>
      <c r="B27" s="236">
        <v>0.2</v>
      </c>
    </row>
    <row r="28" spans="1:2" hidden="1" outlineLevel="1" x14ac:dyDescent="0.2">
      <c r="A28" s="134" t="s">
        <v>109</v>
      </c>
      <c r="B28" s="237"/>
    </row>
    <row r="29" spans="1:2" hidden="1" outlineLevel="1" x14ac:dyDescent="0.2">
      <c r="A29" s="134" t="s">
        <v>110</v>
      </c>
      <c r="B29" s="228">
        <v>0.03</v>
      </c>
    </row>
    <row r="30" spans="1:2" hidden="1" outlineLevel="1" x14ac:dyDescent="0.2"/>
    <row r="31" spans="1:2" collapsed="1" x14ac:dyDescent="0.2">
      <c r="A31" s="140" t="s">
        <v>111</v>
      </c>
      <c r="B31" s="242"/>
    </row>
    <row r="32" spans="1:2" x14ac:dyDescent="0.2">
      <c r="A32" s="134" t="s">
        <v>112</v>
      </c>
      <c r="B32" s="226">
        <v>0.6</v>
      </c>
    </row>
    <row r="33" spans="1:18" x14ac:dyDescent="0.2">
      <c r="A33" s="134" t="s">
        <v>113</v>
      </c>
      <c r="B33" s="236">
        <v>0.4</v>
      </c>
    </row>
    <row r="35" spans="1:18" x14ac:dyDescent="0.2">
      <c r="A35" s="140" t="s">
        <v>114</v>
      </c>
      <c r="B35" s="242"/>
    </row>
    <row r="36" spans="1:18" x14ac:dyDescent="0.2">
      <c r="A36" s="134" t="s">
        <v>112</v>
      </c>
      <c r="B36" s="170">
        <f>AVERAGE('Model Org Stats'!E36,'Model Org Stats'!H36,'Model Org Stats'!K36,'Model Org Stats'!N36,'Model Org Stats'!Z36,'Model Org Stats'!AC36,'Model Org Stats'!AF36,'Model Org Stats'!AR36,'Model Org Stats'!AU36,'Model Org Stats'!AX36,'Model Org Stats'!BJ36,'Model Org Stats'!BM36,'Model Org Stats'!BP36,'Model Org Stats'!CE36,'Model Org Stats'!CH36,'Model Org Stats'!CK36,'Model Org Stats'!CN36)</f>
        <v>96058.439021783051</v>
      </c>
    </row>
    <row r="38" spans="1:18" hidden="1" outlineLevel="1" x14ac:dyDescent="0.2">
      <c r="A38" s="140" t="s">
        <v>115</v>
      </c>
      <c r="B38" s="140"/>
      <c r="C38" s="140"/>
      <c r="D38" s="140"/>
      <c r="E38" s="140"/>
      <c r="F38" s="140"/>
      <c r="G38" s="140"/>
      <c r="H38" s="140"/>
      <c r="I38" s="140"/>
      <c r="J38" s="140"/>
      <c r="K38" s="140"/>
      <c r="L38" s="140"/>
      <c r="M38" s="140"/>
      <c r="N38" s="140"/>
      <c r="O38" s="140"/>
      <c r="P38" s="140"/>
    </row>
    <row r="39" spans="1:18" hidden="1" outlineLevel="1" x14ac:dyDescent="0.2">
      <c r="A39" s="216"/>
      <c r="B39" s="143" t="s">
        <v>116</v>
      </c>
      <c r="C39" s="143" t="s">
        <v>117</v>
      </c>
      <c r="D39" s="143" t="s">
        <v>118</v>
      </c>
      <c r="E39" s="140" t="s">
        <v>119</v>
      </c>
      <c r="F39" s="141"/>
      <c r="G39" s="141"/>
      <c r="H39" s="141"/>
      <c r="I39" s="141"/>
      <c r="J39" s="141"/>
      <c r="K39" s="141"/>
      <c r="L39" s="141"/>
      <c r="M39" s="141"/>
      <c r="N39" s="141"/>
      <c r="O39" s="141"/>
      <c r="P39" s="141"/>
    </row>
    <row r="40" spans="1:18" ht="36" hidden="1" outlineLevel="1" x14ac:dyDescent="0.2">
      <c r="A40" s="216"/>
      <c r="B40" s="143"/>
      <c r="C40" s="143"/>
      <c r="D40" s="143"/>
      <c r="E40" s="166" t="s">
        <v>120</v>
      </c>
      <c r="F40" s="166" t="s">
        <v>121</v>
      </c>
      <c r="G40" s="166" t="s">
        <v>122</v>
      </c>
      <c r="H40" s="166" t="s">
        <v>123</v>
      </c>
      <c r="I40" s="166" t="s">
        <v>124</v>
      </c>
      <c r="J40" s="166" t="s">
        <v>125</v>
      </c>
      <c r="K40" s="166" t="s">
        <v>126</v>
      </c>
      <c r="L40" s="166" t="s">
        <v>127</v>
      </c>
      <c r="M40" s="166" t="s">
        <v>128</v>
      </c>
      <c r="N40" s="166" t="s">
        <v>129</v>
      </c>
      <c r="O40" s="166" t="s">
        <v>130</v>
      </c>
      <c r="P40" s="166" t="s">
        <v>131</v>
      </c>
      <c r="Q40" s="134" t="s">
        <v>132</v>
      </c>
      <c r="R40" s="134" t="s">
        <v>133</v>
      </c>
    </row>
    <row r="41" spans="1:18" hidden="1" outlineLevel="1" x14ac:dyDescent="0.2">
      <c r="A41" s="134" t="s">
        <v>134</v>
      </c>
      <c r="B41" s="222">
        <v>0.3</v>
      </c>
      <c r="C41" s="232">
        <f>AVERAGE(E41:P41)</f>
        <v>0.30650812010923778</v>
      </c>
      <c r="D41" s="234" t="str">
        <f>_xlfn.CONCAT(Q41,"-",R41)</f>
        <v>3%-76%</v>
      </c>
      <c r="E41" s="186">
        <f>'INN Income Splits'!H9</f>
        <v>0.25090218833137501</v>
      </c>
      <c r="F41" s="186">
        <f>'INN Income Splits'!H28</f>
        <v>0.36871021173844654</v>
      </c>
      <c r="G41" s="186">
        <f>'INN Income Splits'!H46</f>
        <v>0.17819372341972736</v>
      </c>
      <c r="H41" s="186">
        <f>'INN Income Splits'!Q9</f>
        <v>9.4042822655457062E-2</v>
      </c>
      <c r="I41" s="186">
        <f>'INN Income Splits'!Q28</f>
        <v>0.28044922516570697</v>
      </c>
      <c r="J41" s="186">
        <f>'INN Income Splits'!Q46</f>
        <v>0.75719913464370558</v>
      </c>
      <c r="K41" s="186">
        <f>'INN Income Splits'!Z9</f>
        <v>3.2358815149522942E-2</v>
      </c>
      <c r="L41" s="186">
        <f>'INN Income Splits'!Z28</f>
        <v>0.17045164147451922</v>
      </c>
      <c r="M41" s="186">
        <f>'INN Income Splits'!Z46</f>
        <v>0.46122464208223718</v>
      </c>
      <c r="N41" s="186">
        <f>'INN Income Splits'!AI9</f>
        <v>0.29874406497949918</v>
      </c>
      <c r="O41" s="186">
        <f>'INN Income Splits'!AI28</f>
        <v>0.37803967979192449</v>
      </c>
      <c r="P41" s="186">
        <f>'INN Income Splits'!AI46</f>
        <v>0.40778129187873191</v>
      </c>
      <c r="Q41" s="186" t="str">
        <f>TEXT(MIN(E41:P41),"0%")</f>
        <v>3%</v>
      </c>
      <c r="R41" s="186" t="str">
        <f>TEXT(MAX(E41:P41),"0%")</f>
        <v>76%</v>
      </c>
    </row>
    <row r="42" spans="1:18" hidden="1" outlineLevel="1" x14ac:dyDescent="0.2">
      <c r="A42" s="134" t="s">
        <v>135</v>
      </c>
      <c r="B42" s="222">
        <v>0.1</v>
      </c>
      <c r="C42" s="232">
        <f t="shared" ref="C42:C48" si="0">AVERAGE(E42:P42)</f>
        <v>9.7688824397799481E-2</v>
      </c>
      <c r="D42" s="234" t="str">
        <f t="shared" ref="D42:D48" si="1">_xlfn.CONCAT(Q42,"-",R42)</f>
        <v>0%-30%</v>
      </c>
      <c r="E42" s="186">
        <f>'INN Income Splits'!H10</f>
        <v>0.11719115083003454</v>
      </c>
      <c r="F42" s="186">
        <f>'INN Income Splits'!H29</f>
        <v>9.25402796072608E-2</v>
      </c>
      <c r="G42" s="186">
        <f>'INN Income Splits'!H47</f>
        <v>1.0091963359747776E-2</v>
      </c>
      <c r="H42" s="186">
        <f>'INN Income Splits'!Q10</f>
        <v>0.11430005651109465</v>
      </c>
      <c r="I42" s="186">
        <f>'INN Income Splits'!Q29</f>
        <v>0.10493668619131526</v>
      </c>
      <c r="J42" s="186">
        <f>'INN Income Splits'!Q47</f>
        <v>2.191908823735678E-3</v>
      </c>
      <c r="K42" s="186">
        <f>'INN Income Splits'!Z10</f>
        <v>3.919678395360387E-3</v>
      </c>
      <c r="L42" s="186">
        <f>'INN Income Splits'!Z29</f>
        <v>9.0796216379769645E-2</v>
      </c>
      <c r="M42" s="186">
        <f>'INN Income Splits'!Z47</f>
        <v>0.30442089324179794</v>
      </c>
      <c r="N42" s="186">
        <f>'INN Income Splits'!AI10</f>
        <v>0.21732330653503698</v>
      </c>
      <c r="O42" s="186">
        <f>'INN Income Splits'!AI29</f>
        <v>8.2674034659786691E-2</v>
      </c>
      <c r="P42" s="186">
        <f>'INN Income Splits'!AI47</f>
        <v>3.1879718238653453E-2</v>
      </c>
      <c r="Q42" s="186" t="str">
        <f t="shared" ref="Q42:Q48" si="2">TEXT(MIN(E42:P42),"0%")</f>
        <v>0%</v>
      </c>
      <c r="R42" s="186" t="str">
        <f t="shared" ref="R42:R48" si="3">TEXT(MAX(E42:P42),"0%")</f>
        <v>30%</v>
      </c>
    </row>
    <row r="43" spans="1:18" hidden="1" outlineLevel="1" x14ac:dyDescent="0.2">
      <c r="A43" s="134" t="s">
        <v>136</v>
      </c>
      <c r="B43" s="222">
        <v>0.3</v>
      </c>
      <c r="C43" s="232">
        <f t="shared" si="0"/>
        <v>0.27596588315811538</v>
      </c>
      <c r="D43" s="234" t="str">
        <f t="shared" si="1"/>
        <v>11%-57%</v>
      </c>
      <c r="E43" s="186">
        <f>'INN Income Splits'!H11+'INN Income Splits'!H12</f>
        <v>0.17075778899058297</v>
      </c>
      <c r="F43" s="186">
        <f>'INN Income Splits'!H30+'INN Income Splits'!H31</f>
        <v>0.18554072837071328</v>
      </c>
      <c r="G43" s="186">
        <f>'INN Income Splits'!H48+'INN Income Splits'!H49</f>
        <v>0.42529348332116534</v>
      </c>
      <c r="H43" s="186">
        <f>'INN Income Splits'!Q11+'INN Income Splits'!Q12</f>
        <v>0.11183736454137147</v>
      </c>
      <c r="I43" s="186">
        <f>'INN Income Splits'!Q30+'INN Income Splits'!Q31</f>
        <v>0.31027612560901879</v>
      </c>
      <c r="J43" s="186">
        <f>'INN Income Splits'!Q48+'INN Income Splits'!Q49</f>
        <v>0.13985606060578817</v>
      </c>
      <c r="K43" s="186">
        <f>'INN Income Splits'!Z11+'INN Income Splits'!Z12</f>
        <v>0.56714961184013524</v>
      </c>
      <c r="L43" s="186">
        <f>'INN Income Splits'!Z30+'INN Income Splits'!Z31</f>
        <v>0.14923041720664693</v>
      </c>
      <c r="M43" s="186">
        <f>'INN Income Splits'!Z48+'INN Income Splits'!Z49</f>
        <v>0.12919279495923183</v>
      </c>
      <c r="N43" s="186">
        <f>'INN Income Splits'!AI11+'INN Income Splits'!AI12</f>
        <v>0.43868160463986772</v>
      </c>
      <c r="O43" s="186">
        <f>'INN Income Splits'!AI30+'INN Income Splits'!AI31</f>
        <v>0.23863533475235016</v>
      </c>
      <c r="P43" s="186">
        <f>'INN Income Splits'!AI48+'INN Income Splits'!AI49</f>
        <v>0.44513928306051226</v>
      </c>
      <c r="Q43" s="186" t="str">
        <f t="shared" si="2"/>
        <v>11%</v>
      </c>
      <c r="R43" s="186" t="str">
        <f t="shared" si="3"/>
        <v>57%</v>
      </c>
    </row>
    <row r="44" spans="1:18" hidden="1" outlineLevel="1" x14ac:dyDescent="0.2">
      <c r="A44" s="134" t="s">
        <v>137</v>
      </c>
      <c r="B44" s="222">
        <v>0.05</v>
      </c>
      <c r="C44" s="232">
        <f t="shared" si="0"/>
        <v>6.5021899158903967E-2</v>
      </c>
      <c r="D44" s="234" t="str">
        <f t="shared" si="1"/>
        <v>0%-21%</v>
      </c>
      <c r="E44" s="186">
        <f>'INN Income Splits'!H15</f>
        <v>0.19867633935182696</v>
      </c>
      <c r="F44" s="186">
        <f>'INN Income Splits'!H34</f>
        <v>1.4509892646406505E-2</v>
      </c>
      <c r="G44" s="186">
        <f>'INN Income Splits'!H52</f>
        <v>7.3704062533487824E-2</v>
      </c>
      <c r="H44" s="186">
        <f>'INN Income Splits'!Q15</f>
        <v>0.20781252965378341</v>
      </c>
      <c r="I44" s="186">
        <f>'INN Income Splits'!Q34</f>
        <v>3.309342806248193E-2</v>
      </c>
      <c r="J44" s="186">
        <f>'INN Income Splits'!Q52</f>
        <v>5.4304047434892923E-4</v>
      </c>
      <c r="K44" s="186">
        <f>'INN Income Splits'!Z15</f>
        <v>2.2645544946841161E-2</v>
      </c>
      <c r="L44" s="186">
        <f>'INN Income Splits'!Z34</f>
        <v>0.12116335087348336</v>
      </c>
      <c r="M44" s="186">
        <f>'INN Income Splits'!Z52</f>
        <v>2.0423925712219067E-2</v>
      </c>
      <c r="N44" s="186">
        <f>'INN Income Splits'!AI15</f>
        <v>1.2714394388385857E-2</v>
      </c>
      <c r="O44" s="186">
        <f>'INN Income Splits'!AI34</f>
        <v>5.5215978927378929E-2</v>
      </c>
      <c r="P44" s="186">
        <f>'INN Income Splits'!AI52</f>
        <v>1.9760302336203621E-2</v>
      </c>
      <c r="Q44" s="186" t="str">
        <f t="shared" si="2"/>
        <v>0%</v>
      </c>
      <c r="R44" s="186" t="str">
        <f t="shared" si="3"/>
        <v>21%</v>
      </c>
    </row>
    <row r="45" spans="1:18" hidden="1" outlineLevel="1" x14ac:dyDescent="0.2">
      <c r="A45" s="134" t="s">
        <v>138</v>
      </c>
      <c r="B45" s="222">
        <v>0.05</v>
      </c>
      <c r="C45" s="232">
        <f t="shared" si="0"/>
        <v>5.5657170927898847E-2</v>
      </c>
      <c r="D45" s="234" t="str">
        <f t="shared" si="1"/>
        <v>0%-14%</v>
      </c>
      <c r="E45" s="186">
        <f>'INN Income Splits'!H16</f>
        <v>5.3882394438812833E-2</v>
      </c>
      <c r="F45" s="186">
        <f>'INN Income Splits'!H35</f>
        <v>3.222237982806192E-2</v>
      </c>
      <c r="G45" s="186">
        <f>'INN Income Splits'!H53</f>
        <v>4.021632529692263E-2</v>
      </c>
      <c r="H45" s="186">
        <f>'INN Income Splits'!Q16</f>
        <v>8.1033698038992893E-2</v>
      </c>
      <c r="I45" s="186">
        <f>'INN Income Splits'!Q35</f>
        <v>7.4869154683245384E-2</v>
      </c>
      <c r="J45" s="186">
        <f>'INN Income Splits'!Q53</f>
        <v>2.248187563804567E-2</v>
      </c>
      <c r="K45" s="186">
        <f>'INN Income Splits'!Z16</f>
        <v>0.13517792374822399</v>
      </c>
      <c r="L45" s="186">
        <f>'INN Income Splits'!Z35</f>
        <v>0.10502470901375353</v>
      </c>
      <c r="M45" s="186">
        <f>'INN Income Splits'!Z53</f>
        <v>0</v>
      </c>
      <c r="N45" s="186">
        <f>'INN Income Splits'!AI16</f>
        <v>6.1178095614664125E-3</v>
      </c>
      <c r="O45" s="186">
        <f>'INN Income Splits'!AI35</f>
        <v>6.4189912040287317E-2</v>
      </c>
      <c r="P45" s="186">
        <f>'INN Income Splits'!AI53</f>
        <v>5.2669868846973528E-2</v>
      </c>
      <c r="Q45" s="186" t="str">
        <f t="shared" si="2"/>
        <v>0%</v>
      </c>
      <c r="R45" s="186" t="str">
        <f t="shared" si="3"/>
        <v>14%</v>
      </c>
    </row>
    <row r="46" spans="1:18" hidden="1" outlineLevel="1" x14ac:dyDescent="0.2">
      <c r="A46" s="134" t="s">
        <v>139</v>
      </c>
      <c r="B46" s="222">
        <v>0.1</v>
      </c>
      <c r="C46" s="232">
        <f t="shared" si="0"/>
        <v>0.11152830222891079</v>
      </c>
      <c r="D46" s="234" t="str">
        <f t="shared" si="1"/>
        <v>0%-27%</v>
      </c>
      <c r="E46" s="186">
        <f>'INN Income Splits'!H17</f>
        <v>0.13886560755384253</v>
      </c>
      <c r="F46" s="186">
        <f>'INN Income Splits'!H36</f>
        <v>0.19485547635510359</v>
      </c>
      <c r="G46" s="186">
        <f>'INN Income Splits'!H54</f>
        <v>0.19524144217690581</v>
      </c>
      <c r="H46" s="186">
        <f>'INN Income Splits'!Q17</f>
        <v>0.16841868429253562</v>
      </c>
      <c r="I46" s="186">
        <f>'INN Income Splits'!Q36</f>
        <v>6.6307726127619884E-2</v>
      </c>
      <c r="J46" s="186">
        <f>'INN Income Splits'!Q54</f>
        <v>0</v>
      </c>
      <c r="K46" s="186">
        <f>'INN Income Splits'!Z17</f>
        <v>0.19113885461290145</v>
      </c>
      <c r="L46" s="186">
        <f>'INN Income Splits'!Z36</f>
        <v>0.26761262831578414</v>
      </c>
      <c r="M46" s="186">
        <f>'INN Income Splits'!Z54</f>
        <v>0</v>
      </c>
      <c r="N46" s="186">
        <f>'INN Income Splits'!AI17</f>
        <v>2.81926707901678E-3</v>
      </c>
      <c r="O46" s="186">
        <f>'INN Income Splits'!AI36</f>
        <v>8.8868768777120244E-2</v>
      </c>
      <c r="P46" s="186">
        <f>'INN Income Splits'!AI54</f>
        <v>2.421117145609919E-2</v>
      </c>
      <c r="Q46" s="186" t="str">
        <f t="shared" si="2"/>
        <v>0%</v>
      </c>
      <c r="R46" s="186" t="str">
        <f t="shared" si="3"/>
        <v>27%</v>
      </c>
    </row>
    <row r="47" spans="1:18" hidden="1" outlineLevel="1" x14ac:dyDescent="0.2">
      <c r="A47" s="134" t="s">
        <v>140</v>
      </c>
      <c r="B47" s="222">
        <v>0.05</v>
      </c>
      <c r="C47" s="232">
        <f t="shared" si="0"/>
        <v>2.4776970088450728E-2</v>
      </c>
      <c r="D47" s="234" t="str">
        <f t="shared" si="1"/>
        <v>0%-10%</v>
      </c>
      <c r="E47" s="186">
        <f>'INN Income Splits'!H18</f>
        <v>4.3656510589867172E-2</v>
      </c>
      <c r="F47" s="186">
        <f>'INN Income Splits'!H37</f>
        <v>2.0840771193979528E-2</v>
      </c>
      <c r="G47" s="186">
        <f>'INN Income Splits'!H55</f>
        <v>4.5482907172676085E-2</v>
      </c>
      <c r="H47" s="186">
        <f>'INN Income Splits'!Q18</f>
        <v>2.4120684790972555E-2</v>
      </c>
      <c r="I47" s="186">
        <f>'INN Income Splits'!Q37</f>
        <v>0.10136344289610563</v>
      </c>
      <c r="J47" s="186">
        <f>'INN Income Splits'!Q55</f>
        <v>0</v>
      </c>
      <c r="K47" s="186">
        <f>'INN Income Splits'!Z18</f>
        <v>1.6816068024146466E-2</v>
      </c>
      <c r="L47" s="186">
        <f>'INN Income Splits'!Z37</f>
        <v>8.5396866170302337E-3</v>
      </c>
      <c r="M47" s="186">
        <f>'INN Income Splits'!Z55</f>
        <v>0</v>
      </c>
      <c r="N47" s="186">
        <f>'INN Income Splits'!AI18</f>
        <v>1.7483966717230463E-3</v>
      </c>
      <c r="O47" s="186">
        <f>'INN Income Splits'!AI37</f>
        <v>2.7002417278049379E-2</v>
      </c>
      <c r="P47" s="186">
        <f>'INN Income Splits'!AI55</f>
        <v>7.7527558268586346E-3</v>
      </c>
      <c r="Q47" s="186" t="str">
        <f t="shared" si="2"/>
        <v>0%</v>
      </c>
      <c r="R47" s="186" t="str">
        <f t="shared" si="3"/>
        <v>10%</v>
      </c>
    </row>
    <row r="48" spans="1:18" hidden="1" outlineLevel="1" x14ac:dyDescent="0.2">
      <c r="A48" s="137" t="s">
        <v>141</v>
      </c>
      <c r="B48" s="230">
        <v>0.05</v>
      </c>
      <c r="C48" s="233">
        <f t="shared" si="0"/>
        <v>6.2852829930683099E-2</v>
      </c>
      <c r="D48" s="235" t="str">
        <f t="shared" si="1"/>
        <v>1%-20%</v>
      </c>
      <c r="E48" s="186">
        <f>'INN Income Splits'!H19+'INN Income Splits'!H20</f>
        <v>2.606801991365805E-2</v>
      </c>
      <c r="F48" s="186">
        <f>'INN Income Splits'!H38+'INN Income Splits'!H39</f>
        <v>9.0780260260027779E-2</v>
      </c>
      <c r="G48" s="186">
        <f>'INN Income Splits'!H56+'INN Income Splits'!H57</f>
        <v>3.1776092719367252E-2</v>
      </c>
      <c r="H48" s="186">
        <f>'INN Income Splits'!Q19+'INN Income Splits'!Q20</f>
        <v>0.19843415951579232</v>
      </c>
      <c r="I48" s="186">
        <f>'INN Income Splits'!Q38+'INN Income Splits'!Q39</f>
        <v>2.8704211264506223E-2</v>
      </c>
      <c r="J48" s="186">
        <f>'INN Income Splits'!Q56+'INN Income Splits'!Q57</f>
        <v>7.7727979814375958E-2</v>
      </c>
      <c r="K48" s="186">
        <f>'INN Income Splits'!Z19+'INN Income Splits'!Z20</f>
        <v>3.0793503282868295E-2</v>
      </c>
      <c r="L48" s="186">
        <f>'INN Income Splits'!Z38+'INN Income Splits'!Z39</f>
        <v>8.7181350119012985E-2</v>
      </c>
      <c r="M48" s="186">
        <f>'INN Income Splits'!Z56+'INN Income Splits'!Z57</f>
        <v>8.4737744004514046E-2</v>
      </c>
      <c r="N48" s="186">
        <f>'INN Income Splits'!AI19+'INN Income Splits'!AI20</f>
        <v>2.1851156145004179E-2</v>
      </c>
      <c r="O48" s="186">
        <f>'INN Income Splits'!AI38+'INN Income Splits'!AI39</f>
        <v>6.5373873773102595E-2</v>
      </c>
      <c r="P48" s="186">
        <f>'INN Income Splits'!AI56+'INN Income Splits'!AI57</f>
        <v>1.0805608355967566E-2</v>
      </c>
      <c r="Q48" s="186" t="str">
        <f t="shared" si="2"/>
        <v>1%</v>
      </c>
      <c r="R48" s="186" t="str">
        <f t="shared" si="3"/>
        <v>20%</v>
      </c>
    </row>
    <row r="49" spans="1:16" hidden="1" outlineLevel="1" x14ac:dyDescent="0.2">
      <c r="A49" s="133" t="s">
        <v>60</v>
      </c>
      <c r="B49" s="231">
        <f>SUM(B41:B48)</f>
        <v>1</v>
      </c>
      <c r="C49" s="231">
        <f>SUM(C41:C48)</f>
        <v>0.99999999999999989</v>
      </c>
      <c r="D49" s="231"/>
      <c r="E49" s="165">
        <f>SUM(E41:E48)</f>
        <v>1</v>
      </c>
      <c r="F49" s="165">
        <f t="shared" ref="F49:G49" si="4">SUM(F41:F48)</f>
        <v>1</v>
      </c>
      <c r="G49" s="165">
        <f t="shared" si="4"/>
        <v>1.0000000000000002</v>
      </c>
      <c r="H49" s="165">
        <f t="shared" ref="H49" si="5">SUM(H41:H48)</f>
        <v>0.99999999999999989</v>
      </c>
      <c r="I49" s="165">
        <f t="shared" ref="I49" si="6">SUM(I41:I48)</f>
        <v>1.0000000000000002</v>
      </c>
      <c r="J49" s="165">
        <f t="shared" ref="J49" si="7">SUM(J41:J48)</f>
        <v>1</v>
      </c>
      <c r="K49" s="165">
        <f t="shared" ref="K49" si="8">SUM(K41:K48)</f>
        <v>1</v>
      </c>
      <c r="L49" s="165">
        <f t="shared" ref="L49" si="9">SUM(L41:L48)</f>
        <v>0.99999999999999989</v>
      </c>
      <c r="M49" s="165">
        <f t="shared" ref="M49" si="10">SUM(M41:M48)</f>
        <v>1</v>
      </c>
      <c r="N49" s="165">
        <f t="shared" ref="N49" si="11">SUM(N41:N48)</f>
        <v>1.0000000000000002</v>
      </c>
      <c r="O49" s="165">
        <f t="shared" ref="O49" si="12">SUM(O41:O48)</f>
        <v>0.99999999999999978</v>
      </c>
      <c r="P49" s="165">
        <f t="shared" ref="P49" si="13">SUM(P41:P48)</f>
        <v>1.0000000000000002</v>
      </c>
    </row>
    <row r="50" spans="1:16" hidden="1" outlineLevel="1" x14ac:dyDescent="0.2"/>
    <row r="51" spans="1:16" hidden="1" outlineLevel="1" x14ac:dyDescent="0.2">
      <c r="A51" s="216" t="s">
        <v>142</v>
      </c>
      <c r="B51" s="216"/>
      <c r="C51" s="216"/>
      <c r="D51" s="216"/>
    </row>
    <row r="52" spans="1:16" hidden="1" outlineLevel="1" x14ac:dyDescent="0.2">
      <c r="A52" s="134" t="s">
        <v>143</v>
      </c>
      <c r="B52" s="219">
        <v>3</v>
      </c>
      <c r="C52" s="134" t="s">
        <v>144</v>
      </c>
    </row>
    <row r="53" spans="1:16" hidden="1" outlineLevel="1" x14ac:dyDescent="0.2">
      <c r="A53" s="134" t="s">
        <v>145</v>
      </c>
      <c r="B53" s="220">
        <v>500000</v>
      </c>
    </row>
    <row r="54" spans="1:16" hidden="1" outlineLevel="1" x14ac:dyDescent="0.2"/>
    <row r="55" spans="1:16" collapsed="1" x14ac:dyDescent="0.2"/>
  </sheetData>
  <pageMargins left="0.7" right="0.7" top="0.75" bottom="0.75" header="0.3" footer="0.3"/>
  <pageSetup scale="45"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98B913B-78DD-4E5B-90F9-5F1D9304B428}">
          <x14:formula1>
            <xm:f>'Dropdown Menus'!#REF!</xm:f>
          </x14:formula1>
          <xm:sqref>B52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19</vt:i4>
      </vt:variant>
    </vt:vector>
  </HeadingPairs>
  <TitlesOfParts>
    <vt:vector size="47" baseType="lpstr">
      <vt:lpstr>Projections</vt:lpstr>
      <vt:lpstr>INSTRUCTIONS</vt:lpstr>
      <vt:lpstr>SUMMARY</vt:lpstr>
      <vt:lpstr>By Journalist</vt:lpstr>
      <vt:lpstr>State Estimate</vt:lpstr>
      <vt:lpstr>Regional Estimate</vt:lpstr>
      <vt:lpstr>By Org Type - Regional National</vt:lpstr>
      <vt:lpstr>By Org Type - State Local</vt:lpstr>
      <vt:lpstr>Assumptions</vt:lpstr>
      <vt:lpstr>Coverage Units by State Size</vt:lpstr>
      <vt:lpstr>State Data Rollup &amp; Size Tags</vt:lpstr>
      <vt:lpstr>INN YBY Comparison</vt:lpstr>
      <vt:lpstr>Model Org Stats</vt:lpstr>
      <vt:lpstr>INN Rollups 2021</vt:lpstr>
      <vt:lpstr>INN Income Splits</vt:lpstr>
      <vt:lpstr>INN Rollups 2020</vt:lpstr>
      <vt:lpstr>INN 2021</vt:lpstr>
      <vt:lpstr>INN 2020</vt:lpstr>
      <vt:lpstr>Public Radio Data</vt:lpstr>
      <vt:lpstr>Hub Data</vt:lpstr>
      <vt:lpstr>School Districts</vt:lpstr>
      <vt:lpstr>Pop. Data</vt:lpstr>
      <vt:lpstr>Census of Govts Data</vt:lpstr>
      <vt:lpstr>Phil. Data</vt:lpstr>
      <vt:lpstr>Dropdown Menus</vt:lpstr>
      <vt:lpstr>Data Sources</vt:lpstr>
      <vt:lpstr>Model Outline</vt:lpstr>
      <vt:lpstr>Taxonomy</vt:lpstr>
      <vt:lpstr>Assumptions!Print_Area</vt:lpstr>
      <vt:lpstr>'By Journalist'!Print_Area</vt:lpstr>
      <vt:lpstr>'By Org Type - Regional National'!Print_Area</vt:lpstr>
      <vt:lpstr>'By Org Type - State Local'!Print_Area</vt:lpstr>
      <vt:lpstr>'Census of Govts Data'!Print_Area</vt:lpstr>
      <vt:lpstr>'Coverage Units by State Size'!Print_Area</vt:lpstr>
      <vt:lpstr>'INN Income Splits'!Print_Area</vt:lpstr>
      <vt:lpstr>'INN Rollups 2021'!Print_Area</vt:lpstr>
      <vt:lpstr>INSTRUCTIONS!Print_Area</vt:lpstr>
      <vt:lpstr>'Model Org Stats'!Print_Area</vt:lpstr>
      <vt:lpstr>'Phil. Data'!Print_Area</vt:lpstr>
      <vt:lpstr>Projections!Print_Area</vt:lpstr>
      <vt:lpstr>'Public Radio Data'!Print_Area</vt:lpstr>
      <vt:lpstr>'Regional Estimate'!Print_Area</vt:lpstr>
      <vt:lpstr>'School Districts'!Print_Area</vt:lpstr>
      <vt:lpstr>'State Data Rollup &amp; Size Tags'!Print_Area</vt:lpstr>
      <vt:lpstr>'State Estimate'!Print_Area</vt:lpstr>
      <vt:lpstr>SUMMARY!Print_Area</vt:lpstr>
      <vt:lpstr>Taxonomy!Print_Area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Asa Royal</cp:lastModifiedBy>
  <cp:revision/>
  <dcterms:created xsi:type="dcterms:W3CDTF">2021-02-02T22:47:18Z</dcterms:created>
  <dcterms:modified xsi:type="dcterms:W3CDTF">2023-03-23T19:08:58Z</dcterms:modified>
  <cp:category/>
  <cp:contentStatus/>
</cp:coreProperties>
</file>